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Liz\Desktop\1. Swinburne\Dip Accounting FNSACC523 Manage Budgets and Forecasts\Bob's Businesss Machines\"/>
    </mc:Choice>
  </mc:AlternateContent>
  <xr:revisionPtr revIDLastSave="0" documentId="13_ncr:1_{1690B791-B133-4FF5-B491-B552897A3DBA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Cover" sheetId="4" r:id="rId1"/>
    <sheet name="Assumptions" sheetId="5" r:id="rId2"/>
    <sheet name="1" sheetId="6" r:id="rId3"/>
    <sheet name="2" sheetId="7" r:id="rId4"/>
    <sheet name="3" sheetId="8" r:id="rId5"/>
    <sheet name="4" sheetId="10" r:id="rId6"/>
    <sheet name="5" sheetId="14" r:id="rId7"/>
    <sheet name="6" sheetId="15" r:id="rId8"/>
    <sheet name="7" sheetId="17" r:id="rId9"/>
    <sheet name="Charts" sheetId="18" r:id="rId10"/>
    <sheet name="Budget for 20xx+1" sheetId="2" state="hidden" r:id="rId11"/>
  </sheets>
  <definedNames>
    <definedName name="_xlnm.Print_Area" localSheetId="2">'1'!$B$2:$Q$41</definedName>
    <definedName name="_xlnm.Print_Area" localSheetId="3">'2'!$B$1:$Q$24</definedName>
    <definedName name="_xlnm.Print_Area" localSheetId="4">'3'!$B$2:$R$25</definedName>
    <definedName name="_xlnm.Print_Area" localSheetId="5">'4'!$B$2:$Q$18</definedName>
    <definedName name="_xlnm.Print_Area" localSheetId="6">'5'!$B$2:$G$18</definedName>
    <definedName name="_xlnm.Print_Area" localSheetId="7">'6'!$B$2:$O$33</definedName>
    <definedName name="_xlnm.Print_Area" localSheetId="8">'7'!$B$2:$Q$33</definedName>
    <definedName name="_xlnm.Print_Area" localSheetId="1">Assumptions!$A$1:$P$32</definedName>
    <definedName name="_xlnm.Print_Area" localSheetId="0">Cover!$C$2:$D$9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2" i="17" l="1"/>
  <c r="O22" i="17"/>
  <c r="N22" i="17"/>
  <c r="M22" i="17"/>
  <c r="L22" i="17"/>
  <c r="K22" i="17"/>
  <c r="J22" i="17"/>
  <c r="I22" i="17"/>
  <c r="H22" i="17"/>
  <c r="F27" i="15" l="1"/>
  <c r="N26" i="15"/>
  <c r="K26" i="15"/>
  <c r="H26" i="15"/>
  <c r="E26" i="15"/>
  <c r="N23" i="15"/>
  <c r="K23" i="15"/>
  <c r="H23" i="15"/>
  <c r="E23" i="15"/>
  <c r="D22" i="15"/>
  <c r="E22" i="15"/>
  <c r="F22" i="15"/>
  <c r="G22" i="15"/>
  <c r="H22" i="15"/>
  <c r="I22" i="15"/>
  <c r="J22" i="15"/>
  <c r="K22" i="15"/>
  <c r="L22" i="15"/>
  <c r="M22" i="15"/>
  <c r="N22" i="15"/>
  <c r="C22" i="15"/>
  <c r="C21" i="15"/>
  <c r="N20" i="15"/>
  <c r="K20" i="15"/>
  <c r="H20" i="15"/>
  <c r="E20" i="15"/>
  <c r="C13" i="10"/>
  <c r="C14" i="10"/>
  <c r="C15" i="10"/>
  <c r="C16" i="10"/>
  <c r="E24" i="10"/>
  <c r="I23" i="10"/>
  <c r="C23" i="10"/>
  <c r="E23" i="10" s="1"/>
  <c r="C24" i="10"/>
  <c r="C25" i="10"/>
  <c r="C22" i="10"/>
  <c r="Q33" i="7"/>
  <c r="Q26" i="7"/>
  <c r="Q19" i="7"/>
  <c r="Q12" i="7"/>
  <c r="Q5" i="7"/>
  <c r="R33" i="7"/>
  <c r="Q34" i="7" s="1"/>
  <c r="R26" i="7"/>
  <c r="Q27" i="7" s="1"/>
  <c r="R19" i="7"/>
  <c r="Q20" i="7" s="1"/>
  <c r="R12" i="7"/>
  <c r="Q13" i="7" s="1"/>
  <c r="R5" i="7"/>
  <c r="Q6" i="7"/>
  <c r="Q2" i="7"/>
  <c r="D24" i="8"/>
  <c r="D6" i="6"/>
  <c r="D31" i="6"/>
  <c r="B32" i="7"/>
  <c r="B25" i="7"/>
  <c r="B18" i="7"/>
  <c r="B11" i="7"/>
  <c r="B4" i="7"/>
  <c r="C6" i="10"/>
  <c r="F6" i="10" s="1"/>
  <c r="J23" i="10" l="1"/>
  <c r="L23" i="10"/>
  <c r="K23" i="10"/>
  <c r="P23" i="10"/>
  <c r="H23" i="10"/>
  <c r="O23" i="10"/>
  <c r="G23" i="10"/>
  <c r="N23" i="10"/>
  <c r="F23" i="10"/>
  <c r="M23" i="10"/>
  <c r="Q35" i="7"/>
  <c r="Q28" i="7"/>
  <c r="Q21" i="7"/>
  <c r="Q14" i="7"/>
  <c r="Q7" i="7"/>
  <c r="O6" i="7"/>
  <c r="P6" i="7" l="1"/>
  <c r="Q8" i="7"/>
  <c r="Q9" i="7" s="1"/>
  <c r="D20" i="17" l="1"/>
  <c r="D31" i="17" s="1"/>
  <c r="B3" i="17"/>
  <c r="B17" i="17"/>
  <c r="P3" i="17"/>
  <c r="O3" i="17"/>
  <c r="N3" i="17"/>
  <c r="M3" i="17"/>
  <c r="L3" i="17"/>
  <c r="K3" i="17"/>
  <c r="J3" i="17"/>
  <c r="I3" i="17"/>
  <c r="H3" i="17"/>
  <c r="C3" i="15"/>
  <c r="D3" i="15"/>
  <c r="E3" i="15"/>
  <c r="F3" i="15"/>
  <c r="G3" i="15"/>
  <c r="H3" i="15"/>
  <c r="I3" i="15"/>
  <c r="J3" i="15"/>
  <c r="K3" i="15"/>
  <c r="L3" i="15"/>
  <c r="M3" i="15"/>
  <c r="N3" i="15"/>
  <c r="I27" i="17"/>
  <c r="J27" i="17"/>
  <c r="K27" i="17"/>
  <c r="L27" i="17"/>
  <c r="M27" i="17"/>
  <c r="N27" i="17"/>
  <c r="O27" i="17"/>
  <c r="P27" i="17"/>
  <c r="B17" i="15"/>
  <c r="O27" i="8"/>
  <c r="N27" i="8"/>
  <c r="M27" i="8"/>
  <c r="L27" i="8"/>
  <c r="K27" i="8"/>
  <c r="J27" i="8"/>
  <c r="I27" i="8"/>
  <c r="H27" i="8"/>
  <c r="G27" i="8"/>
  <c r="F27" i="8"/>
  <c r="E27" i="8"/>
  <c r="D27" i="8"/>
  <c r="B29" i="8"/>
  <c r="B30" i="8"/>
  <c r="B31" i="8"/>
  <c r="B32" i="8"/>
  <c r="B28" i="8"/>
  <c r="B23" i="10"/>
  <c r="B27" i="15" s="1"/>
  <c r="Q23" i="10"/>
  <c r="C13" i="14" s="1"/>
  <c r="D23" i="10"/>
  <c r="B24" i="10"/>
  <c r="B14" i="14" s="1"/>
  <c r="D24" i="10"/>
  <c r="B25" i="10"/>
  <c r="B15" i="14" s="1"/>
  <c r="D25" i="10"/>
  <c r="D22" i="10"/>
  <c r="B22" i="10"/>
  <c r="B26" i="17" s="1"/>
  <c r="P20" i="10"/>
  <c r="O20" i="10"/>
  <c r="N20" i="10"/>
  <c r="M20" i="10"/>
  <c r="L20" i="10"/>
  <c r="K20" i="10"/>
  <c r="J20" i="10"/>
  <c r="I20" i="10"/>
  <c r="H20" i="10"/>
  <c r="G20" i="10"/>
  <c r="F20" i="10"/>
  <c r="E20" i="10"/>
  <c r="P25" i="10"/>
  <c r="N29" i="15" s="1"/>
  <c r="P29" i="17" s="1"/>
  <c r="O25" i="10"/>
  <c r="M29" i="15" s="1"/>
  <c r="O29" i="17" s="1"/>
  <c r="N25" i="10"/>
  <c r="L29" i="15" s="1"/>
  <c r="N29" i="17" s="1"/>
  <c r="M25" i="10"/>
  <c r="K29" i="15" s="1"/>
  <c r="M29" i="17" s="1"/>
  <c r="L25" i="10"/>
  <c r="J29" i="15" s="1"/>
  <c r="L29" i="17" s="1"/>
  <c r="K25" i="10"/>
  <c r="I29" i="15" s="1"/>
  <c r="K29" i="17" s="1"/>
  <c r="J25" i="10"/>
  <c r="H29" i="15" s="1"/>
  <c r="J29" i="17" s="1"/>
  <c r="I25" i="10"/>
  <c r="G29" i="15" s="1"/>
  <c r="I29" i="17" s="1"/>
  <c r="H25" i="10"/>
  <c r="F29" i="15" s="1"/>
  <c r="H29" i="17" s="1"/>
  <c r="G25" i="10"/>
  <c r="E29" i="15" s="1"/>
  <c r="F25" i="10"/>
  <c r="D29" i="15" s="1"/>
  <c r="E25" i="10"/>
  <c r="C29" i="15" s="1"/>
  <c r="P24" i="10"/>
  <c r="N28" i="15" s="1"/>
  <c r="P28" i="17" s="1"/>
  <c r="O24" i="10"/>
  <c r="M28" i="15" s="1"/>
  <c r="O28" i="17" s="1"/>
  <c r="N24" i="10"/>
  <c r="L28" i="15" s="1"/>
  <c r="N28" i="17" s="1"/>
  <c r="M24" i="10"/>
  <c r="K28" i="15" s="1"/>
  <c r="M28" i="17" s="1"/>
  <c r="L24" i="10"/>
  <c r="J28" i="15" s="1"/>
  <c r="L28" i="17" s="1"/>
  <c r="K24" i="10"/>
  <c r="I28" i="15" s="1"/>
  <c r="K28" i="17" s="1"/>
  <c r="J24" i="10"/>
  <c r="H28" i="15" s="1"/>
  <c r="J28" i="17" s="1"/>
  <c r="I24" i="10"/>
  <c r="G28" i="15" s="1"/>
  <c r="I28" i="17" s="1"/>
  <c r="H24" i="10"/>
  <c r="F28" i="15" s="1"/>
  <c r="H28" i="17" s="1"/>
  <c r="G24" i="10"/>
  <c r="E28" i="15" s="1"/>
  <c r="F24" i="10"/>
  <c r="D28" i="15" s="1"/>
  <c r="C28" i="15"/>
  <c r="P22" i="10"/>
  <c r="P26" i="17" s="1"/>
  <c r="O22" i="10"/>
  <c r="O26" i="17" s="1"/>
  <c r="N22" i="10"/>
  <c r="N26" i="17" s="1"/>
  <c r="M22" i="10"/>
  <c r="M26" i="17" s="1"/>
  <c r="L22" i="10"/>
  <c r="L26" i="17" s="1"/>
  <c r="K22" i="10"/>
  <c r="K26" i="17" s="1"/>
  <c r="J22" i="10"/>
  <c r="J26" i="17" s="1"/>
  <c r="I22" i="10"/>
  <c r="I26" i="17" s="1"/>
  <c r="H22" i="10"/>
  <c r="H26" i="17" s="1"/>
  <c r="G22" i="10"/>
  <c r="F22" i="10"/>
  <c r="E22" i="10"/>
  <c r="C8" i="10"/>
  <c r="P2" i="10"/>
  <c r="O2" i="10"/>
  <c r="N2" i="10"/>
  <c r="M2" i="10"/>
  <c r="L2" i="10"/>
  <c r="K2" i="10"/>
  <c r="J2" i="10"/>
  <c r="I2" i="10"/>
  <c r="H2" i="10"/>
  <c r="G2" i="10"/>
  <c r="F2" i="10"/>
  <c r="E2" i="10"/>
  <c r="C24" i="8"/>
  <c r="C23" i="8"/>
  <c r="O22" i="8"/>
  <c r="N22" i="8"/>
  <c r="M22" i="8"/>
  <c r="L22" i="8"/>
  <c r="K22" i="8"/>
  <c r="J22" i="8"/>
  <c r="I22" i="8"/>
  <c r="H22" i="8"/>
  <c r="G22" i="8"/>
  <c r="F22" i="8"/>
  <c r="E22" i="8"/>
  <c r="D22" i="8"/>
  <c r="C18" i="8"/>
  <c r="B4" i="8"/>
  <c r="B12" i="8" s="1"/>
  <c r="B5" i="8"/>
  <c r="B13" i="8" s="1"/>
  <c r="B6" i="8"/>
  <c r="B14" i="8" s="1"/>
  <c r="B7" i="8"/>
  <c r="B15" i="8" s="1"/>
  <c r="E33" i="7"/>
  <c r="F33" i="7"/>
  <c r="G33" i="7"/>
  <c r="H33" i="7"/>
  <c r="I33" i="7"/>
  <c r="J33" i="7"/>
  <c r="K33" i="7"/>
  <c r="L33" i="7"/>
  <c r="M33" i="7"/>
  <c r="N33" i="7"/>
  <c r="O33" i="7"/>
  <c r="D33" i="7"/>
  <c r="E26" i="7"/>
  <c r="F26" i="7"/>
  <c r="G26" i="7"/>
  <c r="H26" i="7"/>
  <c r="I26" i="7"/>
  <c r="J26" i="7"/>
  <c r="K26" i="7"/>
  <c r="L26" i="7"/>
  <c r="M26" i="7"/>
  <c r="N26" i="7"/>
  <c r="O26" i="7"/>
  <c r="D26" i="7"/>
  <c r="C34" i="7"/>
  <c r="C27" i="7"/>
  <c r="C36" i="6"/>
  <c r="P25" i="6"/>
  <c r="Q25" i="6"/>
  <c r="E25" i="6"/>
  <c r="F25" i="6"/>
  <c r="G25" i="6"/>
  <c r="H25" i="6"/>
  <c r="I25" i="6"/>
  <c r="J25" i="6"/>
  <c r="K25" i="6"/>
  <c r="L25" i="6"/>
  <c r="M25" i="6"/>
  <c r="N25" i="6"/>
  <c r="O25" i="6"/>
  <c r="D25" i="6"/>
  <c r="Q24" i="6"/>
  <c r="E24" i="6"/>
  <c r="F24" i="6"/>
  <c r="G24" i="6"/>
  <c r="H24" i="6"/>
  <c r="I24" i="6"/>
  <c r="J24" i="6"/>
  <c r="K24" i="6"/>
  <c r="L24" i="6"/>
  <c r="M24" i="6"/>
  <c r="N24" i="6"/>
  <c r="O24" i="6"/>
  <c r="D24" i="6"/>
  <c r="Q19" i="6"/>
  <c r="E19" i="6"/>
  <c r="F19" i="6"/>
  <c r="G19" i="6"/>
  <c r="H19" i="6"/>
  <c r="I19" i="6"/>
  <c r="J19" i="6"/>
  <c r="K19" i="6"/>
  <c r="L19" i="6"/>
  <c r="M19" i="6"/>
  <c r="N19" i="6"/>
  <c r="O19" i="6"/>
  <c r="P20" i="6"/>
  <c r="Q20" i="6"/>
  <c r="E20" i="6"/>
  <c r="F20" i="6"/>
  <c r="G20" i="6"/>
  <c r="H20" i="6"/>
  <c r="I20" i="6"/>
  <c r="J20" i="6"/>
  <c r="K20" i="6"/>
  <c r="L20" i="6"/>
  <c r="M20" i="6"/>
  <c r="N20" i="6"/>
  <c r="O20" i="6"/>
  <c r="D20" i="6"/>
  <c r="D19" i="6"/>
  <c r="C33" i="6"/>
  <c r="C32" i="6"/>
  <c r="B23" i="6"/>
  <c r="B18" i="6"/>
  <c r="D9" i="5"/>
  <c r="C32" i="8" s="1"/>
  <c r="D6" i="5"/>
  <c r="C29" i="8" s="1"/>
  <c r="D7" i="5"/>
  <c r="C30" i="8" s="1"/>
  <c r="D8" i="5"/>
  <c r="C6" i="8" s="1"/>
  <c r="D5" i="5"/>
  <c r="C28" i="8" s="1"/>
  <c r="C5" i="15"/>
  <c r="O5" i="15" s="1"/>
  <c r="B3" i="15"/>
  <c r="B2" i="14"/>
  <c r="D16" i="10"/>
  <c r="M16" i="10"/>
  <c r="B16" i="10"/>
  <c r="D15" i="10"/>
  <c r="B15" i="10"/>
  <c r="B23" i="15" s="1"/>
  <c r="D14" i="10"/>
  <c r="M14" i="10"/>
  <c r="B14" i="10"/>
  <c r="B22" i="15" s="1"/>
  <c r="D13" i="10"/>
  <c r="B13" i="10"/>
  <c r="B21" i="15" s="1"/>
  <c r="D12" i="10"/>
  <c r="C12" i="10"/>
  <c r="B12" i="10"/>
  <c r="B20" i="15" s="1"/>
  <c r="D7" i="10"/>
  <c r="C7" i="10"/>
  <c r="B7" i="10"/>
  <c r="B16" i="15" s="1"/>
  <c r="D6" i="10"/>
  <c r="B6" i="10"/>
  <c r="B15" i="17" s="1"/>
  <c r="D19" i="8"/>
  <c r="B3" i="8"/>
  <c r="B11" i="8" s="1"/>
  <c r="Q2" i="8"/>
  <c r="O2" i="8"/>
  <c r="N2" i="8"/>
  <c r="M2" i="8"/>
  <c r="L2" i="8"/>
  <c r="K2" i="8"/>
  <c r="J2" i="8"/>
  <c r="I2" i="8"/>
  <c r="H2" i="8"/>
  <c r="G2" i="8"/>
  <c r="F2" i="8"/>
  <c r="E2" i="8"/>
  <c r="D2" i="8"/>
  <c r="C20" i="7"/>
  <c r="O19" i="7"/>
  <c r="N19" i="7"/>
  <c r="M19" i="7"/>
  <c r="L19" i="7"/>
  <c r="K19" i="7"/>
  <c r="J19" i="7"/>
  <c r="I19" i="7"/>
  <c r="H19" i="7"/>
  <c r="G19" i="7"/>
  <c r="F19" i="7"/>
  <c r="E19" i="7"/>
  <c r="D19" i="7"/>
  <c r="C13" i="7"/>
  <c r="O12" i="7"/>
  <c r="N12" i="7"/>
  <c r="M12" i="7"/>
  <c r="L12" i="7"/>
  <c r="K12" i="7"/>
  <c r="J12" i="7"/>
  <c r="I12" i="7"/>
  <c r="H12" i="7"/>
  <c r="G12" i="7"/>
  <c r="F12" i="7"/>
  <c r="E12" i="7"/>
  <c r="D12" i="7"/>
  <c r="C6" i="7"/>
  <c r="O5" i="7"/>
  <c r="N5" i="7"/>
  <c r="M5" i="7"/>
  <c r="L5" i="7"/>
  <c r="K5" i="7"/>
  <c r="J5" i="7"/>
  <c r="I6" i="7" s="1"/>
  <c r="J8" i="7" s="1"/>
  <c r="I5" i="7"/>
  <c r="H5" i="7"/>
  <c r="G5" i="7"/>
  <c r="F5" i="7"/>
  <c r="E5" i="7"/>
  <c r="D5" i="7"/>
  <c r="O2" i="7"/>
  <c r="N2" i="7"/>
  <c r="M2" i="7"/>
  <c r="L2" i="7"/>
  <c r="K2" i="7"/>
  <c r="J2" i="7"/>
  <c r="I2" i="7"/>
  <c r="H2" i="7"/>
  <c r="G2" i="7"/>
  <c r="F2" i="7"/>
  <c r="E2" i="7"/>
  <c r="D2" i="7"/>
  <c r="B2" i="7"/>
  <c r="P31" i="6"/>
  <c r="O30" i="6"/>
  <c r="N30" i="6"/>
  <c r="M30" i="6"/>
  <c r="L30" i="6"/>
  <c r="K30" i="6"/>
  <c r="J30" i="6"/>
  <c r="I30" i="6"/>
  <c r="H30" i="6"/>
  <c r="G30" i="6"/>
  <c r="F30" i="6"/>
  <c r="E30" i="6"/>
  <c r="D30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Q14" i="6"/>
  <c r="O14" i="6"/>
  <c r="N14" i="6"/>
  <c r="M14" i="6"/>
  <c r="L14" i="6"/>
  <c r="K14" i="6"/>
  <c r="J14" i="6"/>
  <c r="I14" i="6"/>
  <c r="H14" i="6"/>
  <c r="G14" i="6"/>
  <c r="F14" i="6"/>
  <c r="E14" i="6"/>
  <c r="D14" i="6"/>
  <c r="B13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Q9" i="6"/>
  <c r="O9" i="6"/>
  <c r="N9" i="6"/>
  <c r="M9" i="6"/>
  <c r="L9" i="6"/>
  <c r="K9" i="6"/>
  <c r="J9" i="6"/>
  <c r="I9" i="6"/>
  <c r="H9" i="6"/>
  <c r="G9" i="6"/>
  <c r="F9" i="6"/>
  <c r="E9" i="6"/>
  <c r="D9" i="6"/>
  <c r="B8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Q4" i="6"/>
  <c r="O4" i="6"/>
  <c r="N4" i="6"/>
  <c r="M4" i="6"/>
  <c r="L4" i="6"/>
  <c r="K4" i="6"/>
  <c r="J4" i="6"/>
  <c r="I4" i="6"/>
  <c r="H4" i="6"/>
  <c r="G4" i="6"/>
  <c r="F4" i="6"/>
  <c r="E4" i="6"/>
  <c r="D4" i="6"/>
  <c r="B3" i="6"/>
  <c r="Q2" i="6"/>
  <c r="O2" i="6"/>
  <c r="N2" i="6"/>
  <c r="M2" i="6"/>
  <c r="L2" i="6"/>
  <c r="K2" i="6"/>
  <c r="J2" i="6"/>
  <c r="I2" i="6"/>
  <c r="H2" i="6"/>
  <c r="G2" i="6"/>
  <c r="F2" i="6"/>
  <c r="E2" i="6"/>
  <c r="D2" i="6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O36" i="2"/>
  <c r="O35" i="2"/>
  <c r="O34" i="2"/>
  <c r="O33" i="2"/>
  <c r="N17" i="2"/>
  <c r="F16" i="2"/>
  <c r="E17" i="2" s="1"/>
  <c r="F19" i="2" s="1"/>
  <c r="C16" i="2"/>
  <c r="N7" i="2"/>
  <c r="M7" i="2"/>
  <c r="L7" i="2"/>
  <c r="K7" i="2"/>
  <c r="J7" i="2"/>
  <c r="I7" i="2"/>
  <c r="H7" i="2"/>
  <c r="G7" i="2"/>
  <c r="F7" i="2"/>
  <c r="F8" i="2" s="1"/>
  <c r="E7" i="2"/>
  <c r="D7" i="2"/>
  <c r="C7" i="2"/>
  <c r="C8" i="2" s="1"/>
  <c r="G6" i="2"/>
  <c r="I6" i="2" s="1"/>
  <c r="D6" i="2"/>
  <c r="E6" i="2" s="1"/>
  <c r="L12" i="10" l="1"/>
  <c r="P12" i="10"/>
  <c r="E12" i="10"/>
  <c r="M12" i="10"/>
  <c r="F12" i="10"/>
  <c r="N12" i="10"/>
  <c r="H12" i="10"/>
  <c r="I12" i="10"/>
  <c r="G12" i="10"/>
  <c r="O12" i="10"/>
  <c r="J12" i="10"/>
  <c r="J20" i="17" s="1"/>
  <c r="K12" i="10"/>
  <c r="M15" i="10"/>
  <c r="E15" i="10"/>
  <c r="L15" i="10"/>
  <c r="L23" i="17" s="1"/>
  <c r="I15" i="10"/>
  <c r="I23" i="17" s="1"/>
  <c r="H15" i="10"/>
  <c r="H23" i="17" s="1"/>
  <c r="K15" i="10"/>
  <c r="K23" i="17" s="1"/>
  <c r="J15" i="10"/>
  <c r="J23" i="17" s="1"/>
  <c r="P15" i="10"/>
  <c r="O15" i="10"/>
  <c r="O23" i="17" s="1"/>
  <c r="G15" i="10"/>
  <c r="N15" i="10"/>
  <c r="N23" i="17" s="1"/>
  <c r="F15" i="10"/>
  <c r="I13" i="10"/>
  <c r="P13" i="10"/>
  <c r="H13" i="10"/>
  <c r="H21" i="17" s="1"/>
  <c r="M13" i="10"/>
  <c r="M21" i="17" s="1"/>
  <c r="O13" i="10"/>
  <c r="O21" i="17" s="1"/>
  <c r="G13" i="10"/>
  <c r="L13" i="10"/>
  <c r="L21" i="17" s="1"/>
  <c r="N13" i="10"/>
  <c r="F13" i="10"/>
  <c r="E13" i="10"/>
  <c r="K13" i="10"/>
  <c r="K21" i="17" s="1"/>
  <c r="J13" i="10"/>
  <c r="C26" i="17"/>
  <c r="E26" i="17" s="1"/>
  <c r="F26" i="17" s="1"/>
  <c r="O21" i="6"/>
  <c r="K26" i="6"/>
  <c r="J21" i="6"/>
  <c r="C31" i="8"/>
  <c r="J31" i="8" s="1"/>
  <c r="C27" i="17"/>
  <c r="E27" i="17" s="1"/>
  <c r="C28" i="17"/>
  <c r="B12" i="14"/>
  <c r="F31" i="8"/>
  <c r="C29" i="17"/>
  <c r="E29" i="17" s="1"/>
  <c r="F29" i="17" s="1"/>
  <c r="E28" i="8"/>
  <c r="K28" i="8"/>
  <c r="E30" i="8"/>
  <c r="G30" i="8"/>
  <c r="I30" i="8"/>
  <c r="J30" i="8"/>
  <c r="F30" i="8"/>
  <c r="K30" i="8"/>
  <c r="D30" i="8"/>
  <c r="J32" i="8"/>
  <c r="K32" i="8"/>
  <c r="N32" i="8"/>
  <c r="M32" i="8"/>
  <c r="O32" i="8"/>
  <c r="E32" i="8"/>
  <c r="D32" i="8"/>
  <c r="F32" i="8"/>
  <c r="I32" i="8"/>
  <c r="J29" i="8"/>
  <c r="D29" i="8"/>
  <c r="E29" i="8"/>
  <c r="F29" i="8"/>
  <c r="H32" i="8"/>
  <c r="M30" i="8"/>
  <c r="B13" i="14"/>
  <c r="B23" i="17"/>
  <c r="Q5" i="17"/>
  <c r="L29" i="8"/>
  <c r="N30" i="8"/>
  <c r="L32" i="8"/>
  <c r="B26" i="15"/>
  <c r="D5" i="17"/>
  <c r="D9" i="17" s="1"/>
  <c r="D33" i="17" s="1"/>
  <c r="M29" i="8"/>
  <c r="O30" i="8"/>
  <c r="B29" i="15"/>
  <c r="B27" i="17"/>
  <c r="L28" i="8"/>
  <c r="N29" i="8"/>
  <c r="H30" i="8"/>
  <c r="C3" i="8"/>
  <c r="B28" i="15"/>
  <c r="B16" i="17"/>
  <c r="B28" i="17"/>
  <c r="C7" i="8"/>
  <c r="K31" i="8"/>
  <c r="B29" i="17"/>
  <c r="B20" i="17"/>
  <c r="G32" i="8"/>
  <c r="C5" i="8"/>
  <c r="B21" i="17"/>
  <c r="C5" i="17"/>
  <c r="R5" i="17" s="1"/>
  <c r="L30" i="8"/>
  <c r="C4" i="8"/>
  <c r="H27" i="17"/>
  <c r="R27" i="17" s="1"/>
  <c r="B22" i="17"/>
  <c r="G29" i="8"/>
  <c r="M27" i="7"/>
  <c r="N29" i="7" s="1"/>
  <c r="R26" i="17"/>
  <c r="R28" i="17"/>
  <c r="R29" i="17"/>
  <c r="O29" i="15"/>
  <c r="Q29" i="17" s="1"/>
  <c r="O28" i="15"/>
  <c r="Q28" i="17" s="1"/>
  <c r="O26" i="15"/>
  <c r="Q26" i="17" s="1"/>
  <c r="K29" i="8"/>
  <c r="I29" i="8"/>
  <c r="H29" i="8"/>
  <c r="O29" i="8"/>
  <c r="J28" i="8"/>
  <c r="I28" i="8"/>
  <c r="D28" i="8"/>
  <c r="H28" i="8"/>
  <c r="O28" i="8"/>
  <c r="G28" i="8"/>
  <c r="N28" i="8"/>
  <c r="F28" i="8"/>
  <c r="M28" i="8"/>
  <c r="Q25" i="10"/>
  <c r="C15" i="14" s="1"/>
  <c r="Q24" i="10"/>
  <c r="C14" i="14" s="1"/>
  <c r="Q22" i="10"/>
  <c r="C12" i="14" s="1"/>
  <c r="E14" i="10"/>
  <c r="I27" i="7"/>
  <c r="J29" i="7" s="1"/>
  <c r="J34" i="7"/>
  <c r="K36" i="7" s="1"/>
  <c r="F27" i="7"/>
  <c r="G29" i="7" s="1"/>
  <c r="K27" i="7"/>
  <c r="L29" i="7" s="1"/>
  <c r="E27" i="7"/>
  <c r="F29" i="7" s="1"/>
  <c r="N27" i="7"/>
  <c r="O29" i="7" s="1"/>
  <c r="D34" i="7"/>
  <c r="E36" i="7" s="1"/>
  <c r="I34" i="7"/>
  <c r="J36" i="7" s="1"/>
  <c r="G34" i="7"/>
  <c r="H36" i="7" s="1"/>
  <c r="F34" i="7"/>
  <c r="G36" i="7" s="1"/>
  <c r="H34" i="7"/>
  <c r="I36" i="7" s="1"/>
  <c r="M34" i="7"/>
  <c r="M35" i="7" s="1"/>
  <c r="E34" i="7"/>
  <c r="F36" i="7" s="1"/>
  <c r="G27" i="7"/>
  <c r="H27" i="7"/>
  <c r="H28" i="7" s="1"/>
  <c r="J27" i="7"/>
  <c r="K29" i="7" s="1"/>
  <c r="L34" i="7"/>
  <c r="M36" i="7" s="1"/>
  <c r="N34" i="7"/>
  <c r="N35" i="7" s="1"/>
  <c r="K34" i="7"/>
  <c r="L36" i="7" s="1"/>
  <c r="O34" i="7"/>
  <c r="P33" i="7"/>
  <c r="D36" i="7"/>
  <c r="P36" i="7" s="1"/>
  <c r="D27" i="7"/>
  <c r="E29" i="7" s="1"/>
  <c r="L27" i="7"/>
  <c r="M29" i="7" s="1"/>
  <c r="O27" i="7"/>
  <c r="P26" i="7"/>
  <c r="D29" i="7"/>
  <c r="P29" i="7" s="1"/>
  <c r="Q21" i="6"/>
  <c r="K21" i="6"/>
  <c r="H21" i="6"/>
  <c r="L26" i="6"/>
  <c r="H26" i="6"/>
  <c r="O26" i="6"/>
  <c r="G26" i="6"/>
  <c r="P4" i="6"/>
  <c r="P6" i="6" s="1"/>
  <c r="P19" i="6"/>
  <c r="P21" i="6" s="1"/>
  <c r="P24" i="6"/>
  <c r="P26" i="6" s="1"/>
  <c r="I26" i="6"/>
  <c r="G21" i="6"/>
  <c r="M26" i="6"/>
  <c r="N21" i="6"/>
  <c r="F21" i="6"/>
  <c r="D26" i="6"/>
  <c r="I21" i="6"/>
  <c r="E26" i="6"/>
  <c r="D21" i="6"/>
  <c r="Q26" i="6"/>
  <c r="N26" i="6"/>
  <c r="F26" i="6"/>
  <c r="J26" i="6"/>
  <c r="M21" i="6"/>
  <c r="E21" i="6"/>
  <c r="L21" i="6"/>
  <c r="G6" i="6"/>
  <c r="F6" i="6"/>
  <c r="N6" i="6"/>
  <c r="J16" i="6"/>
  <c r="O6" i="6"/>
  <c r="D6" i="7"/>
  <c r="E8" i="7" s="1"/>
  <c r="E6" i="7"/>
  <c r="F8" i="7" s="1"/>
  <c r="F6" i="7"/>
  <c r="G8" i="7" s="1"/>
  <c r="K16" i="6"/>
  <c r="M6" i="7"/>
  <c r="N8" i="7" s="1"/>
  <c r="H16" i="6"/>
  <c r="F13" i="7"/>
  <c r="G15" i="7" s="1"/>
  <c r="D8" i="7"/>
  <c r="P8" i="7" s="1"/>
  <c r="J11" i="6"/>
  <c r="J21" i="17"/>
  <c r="J6" i="6"/>
  <c r="D11" i="6"/>
  <c r="L11" i="6"/>
  <c r="F16" i="6"/>
  <c r="N16" i="6"/>
  <c r="K20" i="7"/>
  <c r="L22" i="7" s="1"/>
  <c r="F16" i="10"/>
  <c r="H6" i="6"/>
  <c r="K6" i="6"/>
  <c r="E11" i="6"/>
  <c r="O16" i="6"/>
  <c r="N13" i="7"/>
  <c r="O15" i="7" s="1"/>
  <c r="N16" i="10"/>
  <c r="M11" i="6"/>
  <c r="G16" i="6"/>
  <c r="E6" i="6"/>
  <c r="M6" i="6"/>
  <c r="Q6" i="6"/>
  <c r="Q16" i="6"/>
  <c r="N6" i="7"/>
  <c r="O8" i="7" s="1"/>
  <c r="G13" i="7"/>
  <c r="H15" i="7" s="1"/>
  <c r="F20" i="7"/>
  <c r="G22" i="7" s="1"/>
  <c r="N20" i="7"/>
  <c r="O22" i="7" s="1"/>
  <c r="F14" i="10"/>
  <c r="I6" i="6"/>
  <c r="G11" i="6"/>
  <c r="O11" i="6"/>
  <c r="I16" i="6"/>
  <c r="G20" i="7"/>
  <c r="H22" i="7" s="1"/>
  <c r="J14" i="10"/>
  <c r="L6" i="6"/>
  <c r="I7" i="7"/>
  <c r="H20" i="7"/>
  <c r="I22" i="7" s="1"/>
  <c r="N14" i="10"/>
  <c r="E16" i="6"/>
  <c r="M16" i="6"/>
  <c r="M20" i="7"/>
  <c r="N22" i="7" s="1"/>
  <c r="I13" i="7"/>
  <c r="J15" i="7" s="1"/>
  <c r="J6" i="7"/>
  <c r="K8" i="7" s="1"/>
  <c r="H6" i="7"/>
  <c r="I8" i="7" s="1"/>
  <c r="D15" i="7"/>
  <c r="P15" i="7" s="1"/>
  <c r="K13" i="7"/>
  <c r="L15" i="7" s="1"/>
  <c r="J13" i="7"/>
  <c r="K15" i="7" s="1"/>
  <c r="N21" i="17"/>
  <c r="K11" i="6"/>
  <c r="K6" i="7"/>
  <c r="K7" i="7" s="1"/>
  <c r="D13" i="7"/>
  <c r="D14" i="7" s="1"/>
  <c r="L13" i="7"/>
  <c r="D22" i="7"/>
  <c r="P22" i="7" s="1"/>
  <c r="L20" i="17"/>
  <c r="L6" i="7"/>
  <c r="M8" i="7" s="1"/>
  <c r="E13" i="7"/>
  <c r="F15" i="7" s="1"/>
  <c r="M13" i="7"/>
  <c r="N15" i="7" s="1"/>
  <c r="D20" i="7"/>
  <c r="E22" i="7" s="1"/>
  <c r="L20" i="7"/>
  <c r="M22" i="7" s="1"/>
  <c r="P9" i="6"/>
  <c r="P11" i="6" s="1"/>
  <c r="O13" i="7"/>
  <c r="I11" i="6"/>
  <c r="Q11" i="6"/>
  <c r="H13" i="7"/>
  <c r="I15" i="7" s="1"/>
  <c r="G6" i="7"/>
  <c r="H8" i="7" s="1"/>
  <c r="P5" i="7"/>
  <c r="I20" i="7"/>
  <c r="J22" i="7" s="1"/>
  <c r="H11" i="6"/>
  <c r="J20" i="7"/>
  <c r="K22" i="7" s="1"/>
  <c r="F11" i="6"/>
  <c r="N11" i="6"/>
  <c r="D16" i="6"/>
  <c r="P14" i="6"/>
  <c r="P16" i="6" s="1"/>
  <c r="L16" i="6"/>
  <c r="E20" i="7"/>
  <c r="O20" i="7"/>
  <c r="P19" i="7"/>
  <c r="P12" i="7"/>
  <c r="M20" i="17"/>
  <c r="G14" i="10"/>
  <c r="O14" i="10"/>
  <c r="M23" i="17"/>
  <c r="G16" i="10"/>
  <c r="O16" i="10"/>
  <c r="P21" i="17"/>
  <c r="H14" i="10"/>
  <c r="P14" i="10"/>
  <c r="P23" i="17"/>
  <c r="H16" i="10"/>
  <c r="P16" i="10"/>
  <c r="I14" i="10"/>
  <c r="I16" i="10"/>
  <c r="B15" i="15"/>
  <c r="J16" i="10"/>
  <c r="K14" i="10"/>
  <c r="K16" i="10"/>
  <c r="L14" i="10"/>
  <c r="L16" i="10"/>
  <c r="E16" i="10"/>
  <c r="O38" i="2"/>
  <c r="C31" i="2"/>
  <c r="E16" i="2"/>
  <c r="E8" i="2"/>
  <c r="H6" i="2"/>
  <c r="I16" i="2"/>
  <c r="J6" i="2"/>
  <c r="I8" i="2"/>
  <c r="F31" i="2"/>
  <c r="G8" i="2"/>
  <c r="D8" i="2"/>
  <c r="G16" i="2"/>
  <c r="D16" i="2"/>
  <c r="F28" i="17" l="1"/>
  <c r="E28" i="17"/>
  <c r="C23" i="17"/>
  <c r="E23" i="17" s="1"/>
  <c r="F23" i="17" s="1"/>
  <c r="Q36" i="7"/>
  <c r="Q37" i="7" s="1"/>
  <c r="Q7" i="8" s="1"/>
  <c r="Q15" i="8" s="1"/>
  <c r="P34" i="7"/>
  <c r="Q15" i="7"/>
  <c r="Q16" i="7" s="1"/>
  <c r="P13" i="7"/>
  <c r="P27" i="7"/>
  <c r="Q29" i="7"/>
  <c r="Q30" i="7" s="1"/>
  <c r="Q6" i="8" s="1"/>
  <c r="Q14" i="8" s="1"/>
  <c r="Q22" i="7"/>
  <c r="Q23" i="7" s="1"/>
  <c r="Q5" i="8" s="1"/>
  <c r="Q13" i="8" s="1"/>
  <c r="P20" i="7"/>
  <c r="P21" i="7" s="1"/>
  <c r="P23" i="7" s="1"/>
  <c r="I31" i="8"/>
  <c r="G31" i="8"/>
  <c r="G33" i="8" s="1"/>
  <c r="H31" i="8"/>
  <c r="D31" i="8"/>
  <c r="S28" i="17"/>
  <c r="S5" i="17"/>
  <c r="E31" i="8"/>
  <c r="E33" i="8" s="1"/>
  <c r="N31" i="8"/>
  <c r="O31" i="8"/>
  <c r="M31" i="8"/>
  <c r="L31" i="8"/>
  <c r="D33" i="8"/>
  <c r="I29" i="7"/>
  <c r="I35" i="7"/>
  <c r="I37" i="7" s="1"/>
  <c r="I7" i="8" s="1"/>
  <c r="I15" i="8" s="1"/>
  <c r="M28" i="7"/>
  <c r="M30" i="7" s="1"/>
  <c r="M6" i="8" s="1"/>
  <c r="M14" i="8" s="1"/>
  <c r="R21" i="17"/>
  <c r="S29" i="17"/>
  <c r="S26" i="17"/>
  <c r="P32" i="8"/>
  <c r="R22" i="17"/>
  <c r="R23" i="17"/>
  <c r="P30" i="8"/>
  <c r="O23" i="15"/>
  <c r="Q23" i="17" s="1"/>
  <c r="I28" i="7"/>
  <c r="E5" i="17"/>
  <c r="F33" i="8"/>
  <c r="P29" i="8"/>
  <c r="O27" i="15"/>
  <c r="Q27" i="17" s="1"/>
  <c r="S27" i="17" s="1"/>
  <c r="P35" i="7"/>
  <c r="P37" i="7" s="1"/>
  <c r="M37" i="7"/>
  <c r="M7" i="8" s="1"/>
  <c r="M15" i="8" s="1"/>
  <c r="J35" i="7"/>
  <c r="J37" i="7" s="1"/>
  <c r="J7" i="8" s="1"/>
  <c r="J15" i="8" s="1"/>
  <c r="F28" i="7"/>
  <c r="F30" i="7" s="1"/>
  <c r="F6" i="8" s="1"/>
  <c r="F14" i="8" s="1"/>
  <c r="J28" i="7"/>
  <c r="J30" i="7" s="1"/>
  <c r="J6" i="8" s="1"/>
  <c r="J14" i="8" s="1"/>
  <c r="K28" i="7"/>
  <c r="K30" i="7" s="1"/>
  <c r="K6" i="8" s="1"/>
  <c r="K14" i="8" s="1"/>
  <c r="O36" i="7"/>
  <c r="F35" i="7"/>
  <c r="F37" i="7" s="1"/>
  <c r="F7" i="8" s="1"/>
  <c r="F15" i="8" s="1"/>
  <c r="P28" i="7"/>
  <c r="P30" i="7" s="1"/>
  <c r="N36" i="7"/>
  <c r="N37" i="7" s="1"/>
  <c r="N7" i="8" s="1"/>
  <c r="N15" i="8" s="1"/>
  <c r="G35" i="7"/>
  <c r="G37" i="7" s="1"/>
  <c r="G7" i="8" s="1"/>
  <c r="G15" i="8" s="1"/>
  <c r="E28" i="7"/>
  <c r="E30" i="7" s="1"/>
  <c r="E6" i="8" s="1"/>
  <c r="E14" i="8" s="1"/>
  <c r="N28" i="7"/>
  <c r="N30" i="7" s="1"/>
  <c r="N6" i="8" s="1"/>
  <c r="N14" i="8" s="1"/>
  <c r="E35" i="7"/>
  <c r="E37" i="7" s="1"/>
  <c r="E7" i="8" s="1"/>
  <c r="E15" i="8" s="1"/>
  <c r="H35" i="7"/>
  <c r="H37" i="7" s="1"/>
  <c r="H7" i="8" s="1"/>
  <c r="H15" i="8" s="1"/>
  <c r="D35" i="7"/>
  <c r="D37" i="7" s="1"/>
  <c r="D7" i="8" s="1"/>
  <c r="D15" i="8" s="1"/>
  <c r="K35" i="7"/>
  <c r="K37" i="7" s="1"/>
  <c r="K7" i="8" s="1"/>
  <c r="K15" i="8" s="1"/>
  <c r="L35" i="7"/>
  <c r="L37" i="7" s="1"/>
  <c r="L7" i="8" s="1"/>
  <c r="L15" i="8" s="1"/>
  <c r="H29" i="7"/>
  <c r="H30" i="7" s="1"/>
  <c r="H6" i="8" s="1"/>
  <c r="H14" i="8" s="1"/>
  <c r="G28" i="7"/>
  <c r="G30" i="7" s="1"/>
  <c r="G6" i="8" s="1"/>
  <c r="G14" i="8" s="1"/>
  <c r="O28" i="7"/>
  <c r="O30" i="7" s="1"/>
  <c r="O6" i="8" s="1"/>
  <c r="O14" i="8" s="1"/>
  <c r="D28" i="7"/>
  <c r="D30" i="7" s="1"/>
  <c r="D6" i="8" s="1"/>
  <c r="D14" i="8" s="1"/>
  <c r="O35" i="7"/>
  <c r="L28" i="7"/>
  <c r="L30" i="7" s="1"/>
  <c r="L6" i="8" s="1"/>
  <c r="L14" i="8" s="1"/>
  <c r="Q28" i="6"/>
  <c r="L28" i="6"/>
  <c r="D28" i="6"/>
  <c r="I28" i="6"/>
  <c r="G28" i="6"/>
  <c r="M28" i="6"/>
  <c r="O28" i="6"/>
  <c r="E28" i="6"/>
  <c r="E36" i="6" s="1"/>
  <c r="F31" i="6" s="1"/>
  <c r="K28" i="6"/>
  <c r="H28" i="6"/>
  <c r="J28" i="6"/>
  <c r="N28" i="6"/>
  <c r="F28" i="6"/>
  <c r="F7" i="7"/>
  <c r="F9" i="7" s="1"/>
  <c r="N14" i="7"/>
  <c r="N16" i="7" s="1"/>
  <c r="N4" i="8" s="1"/>
  <c r="N12" i="8" s="1"/>
  <c r="K21" i="7"/>
  <c r="K23" i="7" s="1"/>
  <c r="D7" i="7"/>
  <c r="D9" i="7" s="1"/>
  <c r="P7" i="7"/>
  <c r="P9" i="7" s="1"/>
  <c r="M7" i="7"/>
  <c r="M9" i="7" s="1"/>
  <c r="L7" i="7"/>
  <c r="K9" i="7"/>
  <c r="K3" i="8" s="1"/>
  <c r="F14" i="7"/>
  <c r="F16" i="7" s="1"/>
  <c r="E7" i="7"/>
  <c r="E9" i="7" s="1"/>
  <c r="N17" i="10"/>
  <c r="I9" i="7"/>
  <c r="N20" i="17"/>
  <c r="J14" i="7"/>
  <c r="J16" i="7" s="1"/>
  <c r="N21" i="7"/>
  <c r="N23" i="7" s="1"/>
  <c r="I14" i="7"/>
  <c r="I16" i="7" s="1"/>
  <c r="L21" i="7"/>
  <c r="L23" i="7" s="1"/>
  <c r="E15" i="7"/>
  <c r="N7" i="7"/>
  <c r="N9" i="7" s="1"/>
  <c r="P14" i="7"/>
  <c r="P16" i="7" s="1"/>
  <c r="K14" i="7"/>
  <c r="K16" i="7" s="1"/>
  <c r="M21" i="7"/>
  <c r="M23" i="7" s="1"/>
  <c r="F17" i="10"/>
  <c r="H14" i="7"/>
  <c r="H16" i="7" s="1"/>
  <c r="G21" i="7"/>
  <c r="G23" i="7" s="1"/>
  <c r="G5" i="8" s="1"/>
  <c r="G13" i="8" s="1"/>
  <c r="L8" i="7"/>
  <c r="O7" i="7"/>
  <c r="O9" i="7" s="1"/>
  <c r="O3" i="8" s="1"/>
  <c r="G7" i="7"/>
  <c r="G9" i="7" s="1"/>
  <c r="G3" i="8" s="1"/>
  <c r="D21" i="7"/>
  <c r="D23" i="7" s="1"/>
  <c r="J7" i="7"/>
  <c r="J9" i="7" s="1"/>
  <c r="F21" i="7"/>
  <c r="L14" i="7"/>
  <c r="L16" i="7" s="1"/>
  <c r="M15" i="7"/>
  <c r="O21" i="7"/>
  <c r="O23" i="7" s="1"/>
  <c r="H21" i="7"/>
  <c r="H23" i="7" s="1"/>
  <c r="M14" i="7"/>
  <c r="J17" i="10"/>
  <c r="G14" i="7"/>
  <c r="G16" i="7" s="1"/>
  <c r="E14" i="7"/>
  <c r="H7" i="7"/>
  <c r="H9" i="7" s="1"/>
  <c r="D16" i="7"/>
  <c r="I20" i="17"/>
  <c r="I17" i="10"/>
  <c r="G17" i="10"/>
  <c r="Q4" i="8"/>
  <c r="Q12" i="8" s="1"/>
  <c r="M17" i="10"/>
  <c r="O14" i="7"/>
  <c r="O16" i="7" s="1"/>
  <c r="Q3" i="8"/>
  <c r="Q14" i="10"/>
  <c r="L17" i="10"/>
  <c r="P17" i="10"/>
  <c r="P20" i="17"/>
  <c r="Q15" i="10"/>
  <c r="P28" i="6"/>
  <c r="D7" i="14" s="1"/>
  <c r="J21" i="7"/>
  <c r="J23" i="7" s="1"/>
  <c r="Q16" i="10"/>
  <c r="Q13" i="10"/>
  <c r="K20" i="17"/>
  <c r="K17" i="10"/>
  <c r="H17" i="10"/>
  <c r="H20" i="17"/>
  <c r="I21" i="7"/>
  <c r="I23" i="7" s="1"/>
  <c r="O17" i="10"/>
  <c r="O20" i="17"/>
  <c r="F22" i="7"/>
  <c r="E21" i="7"/>
  <c r="E23" i="7" s="1"/>
  <c r="E17" i="10"/>
  <c r="Q12" i="10"/>
  <c r="G31" i="2"/>
  <c r="D31" i="2"/>
  <c r="E31" i="2"/>
  <c r="J8" i="2"/>
  <c r="K6" i="2"/>
  <c r="J16" i="2"/>
  <c r="F17" i="2"/>
  <c r="E18" i="2"/>
  <c r="D17" i="2"/>
  <c r="E19" i="2" s="1"/>
  <c r="C17" i="2"/>
  <c r="H17" i="2"/>
  <c r="I19" i="2" s="1"/>
  <c r="I31" i="2"/>
  <c r="H16" i="2"/>
  <c r="H8" i="2"/>
  <c r="C9" i="2"/>
  <c r="C20" i="17" l="1"/>
  <c r="E20" i="17" s="1"/>
  <c r="F20" i="17" s="1"/>
  <c r="P31" i="8"/>
  <c r="I30" i="7"/>
  <c r="I6" i="8" s="1"/>
  <c r="I14" i="8" s="1"/>
  <c r="S23" i="17"/>
  <c r="R20" i="17"/>
  <c r="O37" i="7"/>
  <c r="O7" i="8" s="1"/>
  <c r="O15" i="8" s="1"/>
  <c r="P15" i="8" s="1"/>
  <c r="F5" i="17"/>
  <c r="O21" i="15"/>
  <c r="Q21" i="17" s="1"/>
  <c r="S21" i="17" s="1"/>
  <c r="C21" i="17"/>
  <c r="E21" i="17" s="1"/>
  <c r="F21" i="17" s="1"/>
  <c r="O22" i="15"/>
  <c r="Q22" i="17" s="1"/>
  <c r="S22" i="17" s="1"/>
  <c r="C22" i="17"/>
  <c r="E22" i="17" s="1"/>
  <c r="F22" i="17" s="1"/>
  <c r="O20" i="15"/>
  <c r="Q20" i="17" s="1"/>
  <c r="H33" i="8"/>
  <c r="O11" i="8"/>
  <c r="G11" i="8"/>
  <c r="Q11" i="8"/>
  <c r="Q16" i="8" s="1"/>
  <c r="O18" i="8" s="1"/>
  <c r="Q8" i="8"/>
  <c r="K11" i="8"/>
  <c r="P14" i="8"/>
  <c r="F36" i="6"/>
  <c r="G31" i="6" s="1"/>
  <c r="F32" i="6"/>
  <c r="F33" i="6"/>
  <c r="M33" i="6"/>
  <c r="M36" i="6"/>
  <c r="N31" i="6" s="1"/>
  <c r="M32" i="6"/>
  <c r="E33" i="6"/>
  <c r="E32" i="6"/>
  <c r="I36" i="6"/>
  <c r="J31" i="6" s="1"/>
  <c r="I33" i="6"/>
  <c r="I32" i="6"/>
  <c r="G33" i="6"/>
  <c r="G36" i="6"/>
  <c r="H31" i="6" s="1"/>
  <c r="G32" i="6"/>
  <c r="N36" i="6"/>
  <c r="O31" i="6" s="1"/>
  <c r="N33" i="6"/>
  <c r="N32" i="6"/>
  <c r="J33" i="6"/>
  <c r="J36" i="6"/>
  <c r="K31" i="6" s="1"/>
  <c r="J32" i="6"/>
  <c r="D36" i="6"/>
  <c r="E31" i="6" s="1"/>
  <c r="D33" i="6"/>
  <c r="D32" i="6"/>
  <c r="O33" i="6"/>
  <c r="O36" i="6"/>
  <c r="O32" i="6"/>
  <c r="H36" i="6"/>
  <c r="I31" i="6" s="1"/>
  <c r="H32" i="6"/>
  <c r="H33" i="6"/>
  <c r="L36" i="6"/>
  <c r="M31" i="6" s="1"/>
  <c r="L33" i="6"/>
  <c r="L32" i="6"/>
  <c r="K36" i="6"/>
  <c r="L31" i="6" s="1"/>
  <c r="K32" i="6"/>
  <c r="K33" i="6"/>
  <c r="F3" i="8"/>
  <c r="M3" i="8"/>
  <c r="I3" i="8"/>
  <c r="L9" i="7"/>
  <c r="E3" i="8"/>
  <c r="G4" i="8"/>
  <c r="G12" i="8" s="1"/>
  <c r="F4" i="8"/>
  <c r="F12" i="8" s="1"/>
  <c r="E16" i="7"/>
  <c r="M5" i="8"/>
  <c r="M13" i="8" s="1"/>
  <c r="N5" i="8"/>
  <c r="N13" i="8" s="1"/>
  <c r="N3" i="8"/>
  <c r="J4" i="8"/>
  <c r="J12" i="8" s="1"/>
  <c r="D3" i="8"/>
  <c r="L5" i="8"/>
  <c r="L13" i="8" s="1"/>
  <c r="I4" i="8"/>
  <c r="I12" i="8" s="1"/>
  <c r="H4" i="8"/>
  <c r="H12" i="8" s="1"/>
  <c r="J3" i="8"/>
  <c r="H5" i="8"/>
  <c r="H13" i="8" s="1"/>
  <c r="O5" i="8"/>
  <c r="O13" i="8" s="1"/>
  <c r="F23" i="7"/>
  <c r="L4" i="8"/>
  <c r="L12" i="8" s="1"/>
  <c r="K5" i="8"/>
  <c r="K13" i="8" s="1"/>
  <c r="K4" i="8"/>
  <c r="K12" i="8" s="1"/>
  <c r="D5" i="8"/>
  <c r="D13" i="8" s="1"/>
  <c r="M16" i="7"/>
  <c r="D4" i="8"/>
  <c r="D12" i="8" s="1"/>
  <c r="H3" i="8"/>
  <c r="E5" i="8"/>
  <c r="E13" i="8" s="1"/>
  <c r="Q17" i="10"/>
  <c r="J5" i="8"/>
  <c r="J13" i="8" s="1"/>
  <c r="O4" i="8"/>
  <c r="I5" i="8"/>
  <c r="I13" i="8" s="1"/>
  <c r="H31" i="2"/>
  <c r="F9" i="2"/>
  <c r="J31" i="2"/>
  <c r="G19" i="2"/>
  <c r="F18" i="2"/>
  <c r="F20" i="2" s="1"/>
  <c r="I17" i="2"/>
  <c r="D18" i="2"/>
  <c r="D20" i="2" s="1"/>
  <c r="D23" i="2" s="1"/>
  <c r="E20" i="2"/>
  <c r="E23" i="2" s="1"/>
  <c r="K8" i="2"/>
  <c r="K16" i="2"/>
  <c r="L6" i="2"/>
  <c r="H18" i="2"/>
  <c r="G17" i="2"/>
  <c r="D19" i="2"/>
  <c r="C18" i="2"/>
  <c r="C20" i="2" s="1"/>
  <c r="P6" i="8" l="1"/>
  <c r="S20" i="17"/>
  <c r="G16" i="8"/>
  <c r="P7" i="8"/>
  <c r="O8" i="8"/>
  <c r="P6" i="10" s="1"/>
  <c r="I33" i="8"/>
  <c r="F11" i="8"/>
  <c r="K8" i="8"/>
  <c r="D11" i="8"/>
  <c r="D16" i="8" s="1"/>
  <c r="D8" i="8"/>
  <c r="H11" i="8"/>
  <c r="H8" i="8"/>
  <c r="E11" i="8"/>
  <c r="G8" i="8"/>
  <c r="N11" i="8"/>
  <c r="N16" i="8" s="1"/>
  <c r="M18" i="8" s="1"/>
  <c r="N8" i="8"/>
  <c r="I11" i="8"/>
  <c r="I16" i="8" s="1"/>
  <c r="H18" i="8" s="1"/>
  <c r="I19" i="8" s="1"/>
  <c r="I8" i="8"/>
  <c r="J11" i="8"/>
  <c r="J8" i="8"/>
  <c r="M11" i="8"/>
  <c r="P32" i="6"/>
  <c r="P33" i="6"/>
  <c r="E34" i="6"/>
  <c r="D8" i="15" s="1"/>
  <c r="D34" i="6"/>
  <c r="C8" i="15" s="1"/>
  <c r="L3" i="8"/>
  <c r="E4" i="8"/>
  <c r="E12" i="8" s="1"/>
  <c r="J16" i="8"/>
  <c r="I18" i="8" s="1"/>
  <c r="J19" i="8" s="1"/>
  <c r="H16" i="8"/>
  <c r="G18" i="8" s="1"/>
  <c r="H19" i="8" s="1"/>
  <c r="K16" i="8"/>
  <c r="J18" i="8" s="1"/>
  <c r="K19" i="8" s="1"/>
  <c r="F5" i="8"/>
  <c r="F8" i="8" s="1"/>
  <c r="M4" i="8"/>
  <c r="M12" i="8" s="1"/>
  <c r="F18" i="8"/>
  <c r="G19" i="8" s="1"/>
  <c r="O12" i="8"/>
  <c r="C23" i="2"/>
  <c r="C24" i="2" s="1"/>
  <c r="C21" i="2"/>
  <c r="L16" i="2"/>
  <c r="M6" i="2"/>
  <c r="L8" i="2"/>
  <c r="J17" i="2"/>
  <c r="H19" i="2"/>
  <c r="H20" i="2" s="1"/>
  <c r="G18" i="2"/>
  <c r="G20" i="2" s="1"/>
  <c r="G23" i="2" s="1"/>
  <c r="K31" i="2"/>
  <c r="I9" i="2"/>
  <c r="J19" i="2"/>
  <c r="I18" i="2"/>
  <c r="I20" i="2" s="1"/>
  <c r="F23" i="2"/>
  <c r="P7" i="10" l="1"/>
  <c r="N16" i="15" s="1"/>
  <c r="P16" i="17" s="1"/>
  <c r="P8" i="10"/>
  <c r="N17" i="15" s="1"/>
  <c r="P17" i="17" s="1"/>
  <c r="M16" i="8"/>
  <c r="L18" i="8" s="1"/>
  <c r="M19" i="8" s="1"/>
  <c r="E16" i="8"/>
  <c r="D18" i="8" s="1"/>
  <c r="E19" i="8" s="1"/>
  <c r="P34" i="6"/>
  <c r="J33" i="8"/>
  <c r="G6" i="10"/>
  <c r="G7" i="10"/>
  <c r="E16" i="15" s="1"/>
  <c r="G8" i="10"/>
  <c r="E17" i="15" s="1"/>
  <c r="O8" i="10"/>
  <c r="M17" i="15" s="1"/>
  <c r="O17" i="17" s="1"/>
  <c r="O6" i="10"/>
  <c r="M15" i="15" s="1"/>
  <c r="O15" i="17" s="1"/>
  <c r="O7" i="10"/>
  <c r="M16" i="15" s="1"/>
  <c r="O16" i="17" s="1"/>
  <c r="L8" i="10"/>
  <c r="J17" i="15" s="1"/>
  <c r="L17" i="17" s="1"/>
  <c r="L6" i="10"/>
  <c r="J15" i="15" s="1"/>
  <c r="L15" i="17" s="1"/>
  <c r="L7" i="10"/>
  <c r="J16" i="15" s="1"/>
  <c r="L16" i="17" s="1"/>
  <c r="M8" i="8"/>
  <c r="H6" i="10"/>
  <c r="H7" i="10"/>
  <c r="F16" i="15" s="1"/>
  <c r="H16" i="17" s="1"/>
  <c r="H8" i="10"/>
  <c r="F17" i="15" s="1"/>
  <c r="H17" i="17" s="1"/>
  <c r="E8" i="8"/>
  <c r="K7" i="10"/>
  <c r="I16" i="15" s="1"/>
  <c r="K16" i="17" s="1"/>
  <c r="K8" i="10"/>
  <c r="I17" i="15" s="1"/>
  <c r="K17" i="17" s="1"/>
  <c r="K6" i="10"/>
  <c r="L11" i="8"/>
  <c r="L16" i="8" s="1"/>
  <c r="K18" i="8" s="1"/>
  <c r="L19" i="8" s="1"/>
  <c r="L8" i="8"/>
  <c r="I8" i="10"/>
  <c r="G17" i="15" s="1"/>
  <c r="I17" i="17" s="1"/>
  <c r="I6" i="10"/>
  <c r="I7" i="10"/>
  <c r="G16" i="15" s="1"/>
  <c r="I16" i="17" s="1"/>
  <c r="E7" i="10"/>
  <c r="E6" i="10"/>
  <c r="E8" i="10"/>
  <c r="C17" i="15" s="1"/>
  <c r="J8" i="10"/>
  <c r="H17" i="15" s="1"/>
  <c r="J17" i="17" s="1"/>
  <c r="J6" i="10"/>
  <c r="J7" i="10"/>
  <c r="H16" i="15" s="1"/>
  <c r="J16" i="17" s="1"/>
  <c r="F13" i="8"/>
  <c r="F16" i="8" s="1"/>
  <c r="P3" i="8"/>
  <c r="P5" i="8"/>
  <c r="H20" i="8"/>
  <c r="J20" i="8"/>
  <c r="P4" i="8"/>
  <c r="O16" i="8"/>
  <c r="P12" i="8"/>
  <c r="N15" i="15"/>
  <c r="P15" i="17" s="1"/>
  <c r="N19" i="8"/>
  <c r="M20" i="8"/>
  <c r="G20" i="8"/>
  <c r="I20" i="8"/>
  <c r="D20" i="8"/>
  <c r="H23" i="2"/>
  <c r="F21" i="2"/>
  <c r="F24" i="2"/>
  <c r="K19" i="2"/>
  <c r="J18" i="2"/>
  <c r="J20" i="2" s="1"/>
  <c r="J23" i="2" s="1"/>
  <c r="K17" i="2"/>
  <c r="M16" i="2"/>
  <c r="N6" i="2"/>
  <c r="M8" i="2"/>
  <c r="I23" i="2"/>
  <c r="L31" i="2"/>
  <c r="P9" i="10" l="1"/>
  <c r="P13" i="8"/>
  <c r="H9" i="10"/>
  <c r="K20" i="8"/>
  <c r="L24" i="8" s="1"/>
  <c r="P11" i="8"/>
  <c r="L20" i="8"/>
  <c r="L23" i="8" s="1"/>
  <c r="K33" i="8"/>
  <c r="F8" i="10"/>
  <c r="D17" i="15" s="1"/>
  <c r="C17" i="17" s="1"/>
  <c r="E17" i="17" s="1"/>
  <c r="F17" i="17" s="1"/>
  <c r="F7" i="10"/>
  <c r="D16" i="15" s="1"/>
  <c r="C16" i="15"/>
  <c r="C15" i="15"/>
  <c r="M8" i="10"/>
  <c r="K17" i="15" s="1"/>
  <c r="M17" i="17" s="1"/>
  <c r="M7" i="10"/>
  <c r="K16" i="15" s="1"/>
  <c r="M16" i="17" s="1"/>
  <c r="M6" i="10"/>
  <c r="E9" i="10"/>
  <c r="N6" i="10"/>
  <c r="N7" i="10"/>
  <c r="L16" i="15" s="1"/>
  <c r="N16" i="17" s="1"/>
  <c r="N8" i="10"/>
  <c r="L17" i="15" s="1"/>
  <c r="P8" i="8"/>
  <c r="G23" i="8"/>
  <c r="H24" i="8"/>
  <c r="N24" i="8"/>
  <c r="M23" i="8"/>
  <c r="J23" i="8"/>
  <c r="K24" i="8"/>
  <c r="J24" i="8"/>
  <c r="I23" i="8"/>
  <c r="I24" i="8"/>
  <c r="H23" i="8"/>
  <c r="D23" i="8"/>
  <c r="E24" i="8"/>
  <c r="O9" i="10"/>
  <c r="E18" i="8"/>
  <c r="F34" i="6"/>
  <c r="E8" i="15" s="1"/>
  <c r="C8" i="17" s="1"/>
  <c r="E15" i="15"/>
  <c r="F15" i="15"/>
  <c r="H15" i="17" s="1"/>
  <c r="L9" i="10"/>
  <c r="N18" i="8"/>
  <c r="P16" i="8"/>
  <c r="C9" i="15"/>
  <c r="J9" i="10"/>
  <c r="H15" i="15"/>
  <c r="J15" i="17" s="1"/>
  <c r="K9" i="10"/>
  <c r="I15" i="15"/>
  <c r="K15" i="17" s="1"/>
  <c r="I9" i="10"/>
  <c r="G15" i="15"/>
  <c r="I15" i="17" s="1"/>
  <c r="M31" i="2"/>
  <c r="L19" i="2"/>
  <c r="K18" i="2"/>
  <c r="K20" i="2" s="1"/>
  <c r="N8" i="2"/>
  <c r="L9" i="2" s="1"/>
  <c r="C10" i="2" s="1"/>
  <c r="N16" i="2"/>
  <c r="L17" i="2"/>
  <c r="F9" i="10" l="1"/>
  <c r="C16" i="17"/>
  <c r="E16" i="17" s="1"/>
  <c r="F16" i="17" s="1"/>
  <c r="D15" i="15"/>
  <c r="E8" i="17"/>
  <c r="C9" i="17"/>
  <c r="C15" i="17"/>
  <c r="E15" i="17" s="1"/>
  <c r="F15" i="17" s="1"/>
  <c r="R16" i="17"/>
  <c r="M24" i="8"/>
  <c r="M25" i="8" s="1"/>
  <c r="L12" i="15" s="1"/>
  <c r="N12" i="17" s="1"/>
  <c r="J25" i="8"/>
  <c r="I12" i="15" s="1"/>
  <c r="K12" i="17" s="1"/>
  <c r="K31" i="17" s="1"/>
  <c r="Q6" i="10"/>
  <c r="K23" i="8"/>
  <c r="K25" i="8" s="1"/>
  <c r="J12" i="15" s="1"/>
  <c r="L12" i="17" s="1"/>
  <c r="L31" i="17" s="1"/>
  <c r="L25" i="8"/>
  <c r="K12" i="15" s="1"/>
  <c r="H25" i="8"/>
  <c r="G12" i="15" s="1"/>
  <c r="I12" i="17" s="1"/>
  <c r="I31" i="17" s="1"/>
  <c r="Q8" i="10"/>
  <c r="N17" i="17"/>
  <c r="R17" i="17" s="1"/>
  <c r="O17" i="15"/>
  <c r="Q17" i="17" s="1"/>
  <c r="M12" i="17"/>
  <c r="O16" i="15"/>
  <c r="Q16" i="17" s="1"/>
  <c r="L33" i="8"/>
  <c r="Q7" i="10"/>
  <c r="K15" i="15"/>
  <c r="M15" i="17" s="1"/>
  <c r="M9" i="10"/>
  <c r="D25" i="8"/>
  <c r="C12" i="15" s="1"/>
  <c r="I25" i="8"/>
  <c r="H12" i="15" s="1"/>
  <c r="J12" i="17" s="1"/>
  <c r="J31" i="17" s="1"/>
  <c r="F19" i="8"/>
  <c r="F20" i="8" s="1"/>
  <c r="E20" i="8"/>
  <c r="G9" i="10"/>
  <c r="L15" i="15"/>
  <c r="N15" i="17" s="1"/>
  <c r="N9" i="10"/>
  <c r="O19" i="8"/>
  <c r="O20" i="8" s="1"/>
  <c r="O23" i="8" s="1"/>
  <c r="N20" i="8"/>
  <c r="N31" i="2"/>
  <c r="O31" i="2" s="1"/>
  <c r="K23" i="2"/>
  <c r="I24" i="2" s="1"/>
  <c r="I21" i="2"/>
  <c r="M19" i="2"/>
  <c r="L18" i="2"/>
  <c r="L20" i="2" s="1"/>
  <c r="M17" i="2"/>
  <c r="N18" i="2"/>
  <c r="S16" i="17" l="1"/>
  <c r="R15" i="17"/>
  <c r="F8" i="17"/>
  <c r="E9" i="17"/>
  <c r="N31" i="17"/>
  <c r="O15" i="15"/>
  <c r="Q15" i="17" s="1"/>
  <c r="M31" i="17"/>
  <c r="S17" i="17"/>
  <c r="M33" i="8"/>
  <c r="Q9" i="10"/>
  <c r="E23" i="8"/>
  <c r="F24" i="8"/>
  <c r="O24" i="8"/>
  <c r="O25" i="8" s="1"/>
  <c r="N12" i="15" s="1"/>
  <c r="P12" i="17" s="1"/>
  <c r="P31" i="17" s="1"/>
  <c r="N23" i="8"/>
  <c r="N25" i="8" s="1"/>
  <c r="M12" i="15" s="1"/>
  <c r="O12" i="17" s="1"/>
  <c r="O31" i="17" s="1"/>
  <c r="F23" i="8"/>
  <c r="G24" i="8"/>
  <c r="G25" i="8" s="1"/>
  <c r="F12" i="15" s="1"/>
  <c r="H12" i="17" s="1"/>
  <c r="H31" i="17" s="1"/>
  <c r="G34" i="6"/>
  <c r="F8" i="15" s="1"/>
  <c r="H8" i="17" s="1"/>
  <c r="C31" i="15"/>
  <c r="C33" i="15" s="1"/>
  <c r="D5" i="15" s="1"/>
  <c r="D9" i="15" s="1"/>
  <c r="L23" i="2"/>
  <c r="N19" i="2"/>
  <c r="N20" i="2" s="1"/>
  <c r="N23" i="2" s="1"/>
  <c r="M18" i="2"/>
  <c r="M20" i="2" s="1"/>
  <c r="M23" i="2" s="1"/>
  <c r="S15" i="17" l="1"/>
  <c r="F25" i="8"/>
  <c r="R12" i="17"/>
  <c r="R31" i="17" s="1"/>
  <c r="N33" i="8"/>
  <c r="P28" i="8"/>
  <c r="P24" i="8"/>
  <c r="E25" i="8"/>
  <c r="D12" i="15" s="1"/>
  <c r="P23" i="8"/>
  <c r="L24" i="2"/>
  <c r="C25" i="2" s="1"/>
  <c r="L21" i="2"/>
  <c r="D31" i="15" l="1"/>
  <c r="D33" i="15" s="1"/>
  <c r="E5" i="15" s="1"/>
  <c r="E9" i="15" s="1"/>
  <c r="E12" i="15"/>
  <c r="C12" i="17" s="1"/>
  <c r="P25" i="8"/>
  <c r="O33" i="8"/>
  <c r="P33" i="8"/>
  <c r="D8" i="14" s="1"/>
  <c r="D9" i="14" s="1"/>
  <c r="H34" i="6"/>
  <c r="G8" i="15" s="1"/>
  <c r="I8" i="17" s="1"/>
  <c r="E12" i="17" l="1"/>
  <c r="F12" i="17" s="1"/>
  <c r="C31" i="17"/>
  <c r="E31" i="15"/>
  <c r="E33" i="15" s="1"/>
  <c r="F5" i="15" s="1"/>
  <c r="O12" i="15"/>
  <c r="Q12" i="17" s="1"/>
  <c r="I34" i="6"/>
  <c r="H8" i="15" s="1"/>
  <c r="J8" i="17" s="1"/>
  <c r="F31" i="15"/>
  <c r="H5" i="17" l="1"/>
  <c r="H9" i="17" s="1"/>
  <c r="H33" i="17" s="1"/>
  <c r="F9" i="15"/>
  <c r="F33" i="15" s="1"/>
  <c r="G5" i="15" s="1"/>
  <c r="E31" i="17"/>
  <c r="F31" i="17" s="1"/>
  <c r="C33" i="17"/>
  <c r="E33" i="17" s="1"/>
  <c r="F33" i="17" s="1"/>
  <c r="S12" i="17"/>
  <c r="S31" i="17" s="1"/>
  <c r="Q31" i="17"/>
  <c r="I5" i="17" l="1"/>
  <c r="I9" i="17" s="1"/>
  <c r="I33" i="17" s="1"/>
  <c r="G9" i="15"/>
  <c r="J34" i="6"/>
  <c r="I8" i="15" s="1"/>
  <c r="K8" i="17" s="1"/>
  <c r="G31" i="15"/>
  <c r="G33" i="15" l="1"/>
  <c r="H5" i="15" s="1"/>
  <c r="H9" i="15" s="1"/>
  <c r="I31" i="15"/>
  <c r="K34" i="6"/>
  <c r="J8" i="15" s="1"/>
  <c r="L8" i="17" s="1"/>
  <c r="J5" i="17" l="1"/>
  <c r="J9" i="17" s="1"/>
  <c r="J33" i="17" s="1"/>
  <c r="H31" i="15"/>
  <c r="H33" i="15" s="1"/>
  <c r="I5" i="15" s="1"/>
  <c r="I9" i="15" l="1"/>
  <c r="I33" i="15" s="1"/>
  <c r="J5" i="15" s="1"/>
  <c r="L5" i="17" s="1"/>
  <c r="K5" i="17"/>
  <c r="K9" i="17" s="1"/>
  <c r="K33" i="17" s="1"/>
  <c r="J31" i="15"/>
  <c r="L34" i="6"/>
  <c r="K8" i="15" s="1"/>
  <c r="M8" i="17" s="1"/>
  <c r="J9" i="15" l="1"/>
  <c r="J33" i="15" s="1"/>
  <c r="K5" i="15" s="1"/>
  <c r="M5" i="17" s="1"/>
  <c r="M9" i="17" s="1"/>
  <c r="M33" i="17" s="1"/>
  <c r="L9" i="17"/>
  <c r="L33" i="17" s="1"/>
  <c r="K9" i="15" l="1"/>
  <c r="K31" i="15"/>
  <c r="M34" i="6"/>
  <c r="L8" i="15" s="1"/>
  <c r="N8" i="17" s="1"/>
  <c r="K33" i="15" l="1"/>
  <c r="L5" i="15" s="1"/>
  <c r="N5" i="17" s="1"/>
  <c r="N9" i="17" s="1"/>
  <c r="N33" i="17" s="1"/>
  <c r="L9" i="15" l="1"/>
  <c r="L31" i="15"/>
  <c r="N34" i="6"/>
  <c r="M8" i="15" s="1"/>
  <c r="O8" i="17" l="1"/>
  <c r="L33" i="15"/>
  <c r="M5" i="15" s="1"/>
  <c r="O5" i="17" s="1"/>
  <c r="M31" i="15"/>
  <c r="O9" i="17" l="1"/>
  <c r="O33" i="17" s="1"/>
  <c r="M9" i="15"/>
  <c r="M33" i="15" s="1"/>
  <c r="N5" i="15" s="1"/>
  <c r="P5" i="17" s="1"/>
  <c r="O34" i="6"/>
  <c r="N8" i="15" s="1"/>
  <c r="P8" i="17" l="1"/>
  <c r="R8" i="17" s="1"/>
  <c r="O8" i="15"/>
  <c r="Q8" i="17" s="1"/>
  <c r="Q9" i="17" s="1"/>
  <c r="Q33" i="17" s="1"/>
  <c r="O9" i="15" l="1"/>
  <c r="S8" i="17"/>
  <c r="S9" i="17" s="1"/>
  <c r="R9" i="17"/>
  <c r="R33" i="17" s="1"/>
  <c r="S33" i="17" s="1"/>
  <c r="P9" i="17"/>
  <c r="P33" i="17" s="1"/>
  <c r="O31" i="15"/>
  <c r="N31" i="15"/>
  <c r="N9" i="15"/>
  <c r="O33" i="15" l="1"/>
  <c r="N33" i="15"/>
  <c r="D16" i="14"/>
  <c r="D18" i="14" s="1"/>
  <c r="Q26" i="10"/>
  <c r="E26" i="10"/>
  <c r="K26" i="10"/>
  <c r="M26" i="10"/>
  <c r="N26" i="10"/>
  <c r="P26" i="10"/>
  <c r="G26" i="10"/>
  <c r="H26" i="10"/>
  <c r="J26" i="10"/>
  <c r="F26" i="10"/>
  <c r="I26" i="10"/>
  <c r="O26" i="10"/>
  <c r="L26" i="10"/>
</calcChain>
</file>

<file path=xl/sharedStrings.xml><?xml version="1.0" encoding="utf-8"?>
<sst xmlns="http://schemas.openxmlformats.org/spreadsheetml/2006/main" count="374" uniqueCount="209">
  <si>
    <t>Quarter 1</t>
  </si>
  <si>
    <t>Quarter 2</t>
  </si>
  <si>
    <t>Quarter 3</t>
  </si>
  <si>
    <t>Quarter 4</t>
  </si>
  <si>
    <t>Year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</si>
  <si>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</si>
  <si>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</si>
  <si>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</si>
  <si>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</si>
  <si>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</si>
  <si>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</si>
  <si>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</si>
  <si>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</si>
  <si>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</si>
  <si>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</si>
  <si>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</si>
  <si>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</si>
  <si>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Budget Estimates</t>
  </si>
  <si>
    <t>TOTAL</t>
  </si>
  <si>
    <t>Sales ($)</t>
  </si>
  <si>
    <t>Communiteam Playset</t>
  </si>
  <si>
    <t>Sales Budget for the Year 20xx+1</t>
  </si>
  <si>
    <t>Expected Sales (Units)</t>
  </si>
  <si>
    <t>Communiteam</t>
  </si>
  <si>
    <t>Unit Selling Price ($)</t>
  </si>
  <si>
    <t>Sub Total ($)</t>
  </si>
  <si>
    <t>Quarter Total ($)</t>
  </si>
  <si>
    <t>Annual Total Sales ($)</t>
  </si>
  <si>
    <t>Production Budget for the Year 20xx+1</t>
  </si>
  <si>
    <t>Actual Production</t>
  </si>
  <si>
    <t>Budgeted Unit Sales</t>
  </si>
  <si>
    <t>Desired Ending Inventory</t>
  </si>
  <si>
    <t>Total Required Units</t>
  </si>
  <si>
    <t>Less: Beginning Inventory</t>
  </si>
  <si>
    <t>Required Units For Production</t>
  </si>
  <si>
    <t>Quarter Total</t>
  </si>
  <si>
    <t>Production Cost Per Unit ($)</t>
  </si>
  <si>
    <t>Total Unit Production Cost ($)</t>
  </si>
  <si>
    <t>Quarter Total Cost ($)</t>
  </si>
  <si>
    <t>Annual Total Cost ($)</t>
  </si>
  <si>
    <t>Budget Estimate for the Year 20xx+1</t>
  </si>
  <si>
    <t>Admin. Expenses</t>
  </si>
  <si>
    <t>Rent ($)</t>
  </si>
  <si>
    <t>Utilities ($)</t>
  </si>
  <si>
    <t>Advertising ($)</t>
  </si>
  <si>
    <t>Salaries ($)</t>
  </si>
  <si>
    <t>Miscellaneous ($)</t>
  </si>
  <si>
    <t>Total Admin. Expenses ($)</t>
  </si>
  <si>
    <t>Contents:</t>
  </si>
  <si>
    <t>Budget Assumptions</t>
  </si>
  <si>
    <t>Sales Information</t>
  </si>
  <si>
    <t>Budgeted Sales (units)</t>
  </si>
  <si>
    <t>Ending inventory of finished goods is to be 50% of the next month's Sales requirements</t>
  </si>
  <si>
    <t xml:space="preserve">  Collected in month of sale</t>
  </si>
  <si>
    <t xml:space="preserve">  Collected the following month</t>
  </si>
  <si>
    <t>Ending inventory of direct materials is to be 25% of the next month's requirements</t>
  </si>
  <si>
    <t>Indirect Labour</t>
  </si>
  <si>
    <t>Variable</t>
  </si>
  <si>
    <t>Indirect Materials</t>
  </si>
  <si>
    <t>Fixed</t>
  </si>
  <si>
    <t>Factory Maintenance</t>
  </si>
  <si>
    <t>Property, Plant and Equipment Depreciation</t>
  </si>
  <si>
    <t xml:space="preserve">Operating Expenses </t>
  </si>
  <si>
    <t>Administrative Wages</t>
  </si>
  <si>
    <t>General Office Expenses</t>
  </si>
  <si>
    <t xml:space="preserve">  Budgeted sales volume (units)</t>
  </si>
  <si>
    <t xml:space="preserve">  Budgeted selling price</t>
  </si>
  <si>
    <t xml:space="preserve">  Total sales</t>
  </si>
  <si>
    <t>Total sales</t>
    <phoneticPr fontId="3" type="noConversion"/>
  </si>
  <si>
    <t>Ending Accounts Receivable</t>
  </si>
  <si>
    <t xml:space="preserve">  Total Finished Goods Required</t>
  </si>
  <si>
    <t xml:space="preserve">  Less Beginning Inventory</t>
  </si>
  <si>
    <t>Target Ending Direct Materials Inventory</t>
  </si>
  <si>
    <t>Less Beginning Direct Materials Inventory</t>
  </si>
  <si>
    <t>Total Purchases of Direct Materials</t>
  </si>
  <si>
    <t>Cost</t>
  </si>
  <si>
    <t>Total Production Units</t>
  </si>
  <si>
    <t>Variable Overhead Costs:</t>
  </si>
  <si>
    <t>Fixed Overhead Costs:</t>
  </si>
  <si>
    <t>Total Fixed Overhead Costs</t>
  </si>
  <si>
    <t>Total Operating Expenses</t>
  </si>
  <si>
    <t>Budgeted Income Statement</t>
  </si>
  <si>
    <t>Sales</t>
    <phoneticPr fontId="3" type="noConversion"/>
  </si>
  <si>
    <t>Less cost of goods sold</t>
    <phoneticPr fontId="3" type="noConversion"/>
  </si>
  <si>
    <t>Gross margin</t>
    <phoneticPr fontId="3" type="noConversion"/>
  </si>
  <si>
    <t>Less Operating expenses</t>
    <phoneticPr fontId="3" type="noConversion"/>
  </si>
  <si>
    <t>Net Income</t>
  </si>
  <si>
    <t>Cash Receipts:</t>
  </si>
  <si>
    <t>Sales revenue</t>
  </si>
  <si>
    <t>Total Cash Available</t>
  </si>
  <si>
    <t>Cash Payments:</t>
  </si>
  <si>
    <t>Operating Costs:</t>
  </si>
  <si>
    <t>Total Payments</t>
  </si>
  <si>
    <t>Cash on Hand</t>
  </si>
  <si>
    <t>Photocopier - Kyco 809 ci</t>
  </si>
  <si>
    <t>Photocopier - Monochrome MZ300</t>
  </si>
  <si>
    <t>Multi-function - MFp 200z</t>
  </si>
  <si>
    <t>3D printer - RV800</t>
  </si>
  <si>
    <t>Label/barcode printer 6-inch industrial - A200</t>
  </si>
  <si>
    <t xml:space="preserve">Business Machine </t>
  </si>
  <si>
    <t>Selling price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</si>
  <si>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</si>
  <si>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</si>
  <si>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</si>
  <si>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</si>
  <si>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</si>
  <si>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</si>
  <si>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</si>
  <si>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</si>
  <si>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</si>
  <si>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</si>
  <si>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Jun</t>
  </si>
  <si>
    <t>Direct Materials cost per machine</t>
  </si>
  <si>
    <t>*Paid March, June, September &amp; December</t>
  </si>
  <si>
    <t>Manufacturing Overhead Costs</t>
  </si>
  <si>
    <t>Basis</t>
  </si>
  <si>
    <t>Cost Type</t>
  </si>
  <si>
    <t>Electricty, water and gas</t>
  </si>
  <si>
    <t>Manufacturing Insurance</t>
  </si>
  <si>
    <t>Business Insurance</t>
  </si>
  <si>
    <t>Percentage</t>
  </si>
  <si>
    <t>Percentage of sales paid in cash</t>
  </si>
  <si>
    <t>Percentage of sales paid in  credit</t>
  </si>
  <si>
    <t>Inventory Policies</t>
  </si>
  <si>
    <t>Cash Collections and Payments</t>
  </si>
  <si>
    <t>Percentage of Direct Materials purchased on credit</t>
  </si>
  <si>
    <t>Percentage of suppliers Paid in month of purchase</t>
  </si>
  <si>
    <t>Percentage of Suppliers Paid in the month following purchase</t>
  </si>
  <si>
    <t>Accounts Payable Policy:</t>
  </si>
  <si>
    <t>Bob's Business Machines Budgeting Assumptions</t>
  </si>
  <si>
    <t>Sales and cash collections budget</t>
  </si>
  <si>
    <t>Add: Cash sales</t>
  </si>
  <si>
    <t>Add: Cash collected from credit sales</t>
  </si>
  <si>
    <t>Total Cash collected</t>
  </si>
  <si>
    <t>Opening Accounts Receivable*</t>
  </si>
  <si>
    <t>*Last month's credit sales that will be paid in cash this month</t>
  </si>
  <si>
    <t xml:space="preserve">  Target Ending Inventory </t>
  </si>
  <si>
    <t>Direct materials and cash payments budget</t>
  </si>
  <si>
    <t xml:space="preserve">Production Budget </t>
  </si>
  <si>
    <t>Machining cost per machine</t>
  </si>
  <si>
    <t xml:space="preserve"> Cost</t>
  </si>
  <si>
    <t>Direct Materials cost</t>
  </si>
  <si>
    <t>Total Direct Materials Cost</t>
  </si>
  <si>
    <t>Cash payment for current months purchases</t>
  </si>
  <si>
    <t>Cash payment for previous months purchases</t>
  </si>
  <si>
    <t xml:space="preserve">Total cash payments </t>
  </si>
  <si>
    <t>per machine</t>
  </si>
  <si>
    <t>Total Variable Overhead Costs</t>
  </si>
  <si>
    <t>Total Machines Manufactured</t>
  </si>
  <si>
    <t>per year, paid monthly</t>
  </si>
  <si>
    <t>per year, paid annually in July</t>
  </si>
  <si>
    <t>per year, evenly through out the year</t>
  </si>
  <si>
    <t>Manufacturing Overhead Budget 
Monthly Operating Cost Budget</t>
  </si>
  <si>
    <t>Manufacturing Overhead Budget</t>
  </si>
  <si>
    <t>Monthly Operating Expenses Budget</t>
  </si>
  <si>
    <t>per year, paid annualy in Oct</t>
  </si>
  <si>
    <t xml:space="preserve">Budgeted Income Statement </t>
  </si>
  <si>
    <t>Monthly Cashflow Budget</t>
  </si>
  <si>
    <t>Bob's Business Machines</t>
  </si>
  <si>
    <t>FY 20XX</t>
  </si>
  <si>
    <t>Total Direct Material Cost of Product Sold</t>
  </si>
  <si>
    <t>Opening Cash Balance</t>
  </si>
  <si>
    <t xml:space="preserve">Direct Materials </t>
  </si>
  <si>
    <t>Maching cost</t>
  </si>
  <si>
    <t xml:space="preserve"> Budgeting Forecasting Document 
20XX</t>
  </si>
  <si>
    <t>Q1 Cashflow variance analysis and forecast</t>
  </si>
  <si>
    <t>Q1 Actuals</t>
  </si>
  <si>
    <t>Q1 Budget</t>
  </si>
  <si>
    <t>FY Budget</t>
  </si>
  <si>
    <t>FY Forecast</t>
  </si>
  <si>
    <t>FY Forecast Variance</t>
  </si>
  <si>
    <t>1. Sales revenue is down by almost $200k</t>
  </si>
  <si>
    <t>2. Direct materials are more expensive even though they have sold less</t>
  </si>
  <si>
    <t>Check if there was an error with the supplier, renegotiated prices or look for another supplier of direct materials</t>
  </si>
  <si>
    <t>4. Business insurance</t>
  </si>
  <si>
    <t>This is due to insurance being paid early and the FY forecast for this amount will stay the same</t>
  </si>
  <si>
    <t>Variances for students to note:</t>
  </si>
  <si>
    <t>Recommended Actions to take to ideas to add to the scenario:</t>
  </si>
  <si>
    <t>The business lost a key customer? Still recruting for a sales manager? Or new competitor entered the market?</t>
  </si>
  <si>
    <t>Students to complete this variance report using the Orgnisations Budget Variance Analysis Policy Procedure (I created)</t>
  </si>
  <si>
    <t>Include variance $ and %</t>
  </si>
  <si>
    <t>Those  variances greater than 10% of the base cost or revenue recommended actions need to be provided</t>
  </si>
  <si>
    <t>Q1 Variance ($)</t>
  </si>
  <si>
    <t>Q1 Variance (%)</t>
  </si>
  <si>
    <t>F = Favourable
U = Unfavourable</t>
  </si>
  <si>
    <t>Unfavourable</t>
  </si>
  <si>
    <t>Favourable</t>
  </si>
  <si>
    <t xml:space="preserve">PEAK </t>
  </si>
  <si>
    <t>PEAK</t>
  </si>
  <si>
    <t>OFF PEAK</t>
  </si>
  <si>
    <t>Assumptions:</t>
  </si>
  <si>
    <t>*Beginning Direct Materials Inventory 1 Jul 20XX</t>
  </si>
  <si>
    <t>* Beginning Cash Balance 1st July 20XX</t>
  </si>
  <si>
    <t>Opening Cash Balance*</t>
  </si>
  <si>
    <t>Sales Budget</t>
  </si>
  <si>
    <t>Cash Collections Budget</t>
  </si>
  <si>
    <t>Direct Materials Budget</t>
  </si>
  <si>
    <t>Cash Payments Budget</t>
  </si>
  <si>
    <t>per month, paid quarterly*</t>
  </si>
  <si>
    <t>per quarter, paid per quarter*</t>
  </si>
  <si>
    <t>Per machine manufactured</t>
  </si>
  <si>
    <t>per month, paid monthly</t>
  </si>
  <si>
    <t>Cost of Goods sold - Direct Material Cost</t>
  </si>
  <si>
    <t>Manufactuirng Team's Salary</t>
  </si>
  <si>
    <t>Note: Use accrual based accounting to prepare the following budgets</t>
  </si>
  <si>
    <t>FORECAST</t>
  </si>
  <si>
    <t>3. The manufacturing Teams salary increased by $20k per quarter</t>
  </si>
  <si>
    <t>Notified of the change and forecast  higher salary for remainder of FY</t>
  </si>
  <si>
    <t>5. Manufacturing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</si>
</sst>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-&quot;$&quot;* #,##0_-;\-&quot;$&quot;* #,##0_-;_-&quot;$&quot;* &quot;-&quot;??_-;_-@_-"/>
    <numFmt numFmtId="168" formatCode="_-* #,##0_-;\-* #,##0_-;_-* &quot;-&quot;??_-;_-@_-"/>
    <numFmt numFmtId="169" formatCode="#,##0_ ;\-#,##0\ "/>
    <numFmt numFmtId="170" formatCode="#,##0_);[Red]\(&quot;$&quot;#,##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0B8B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4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center" vertical="center" wrapText="1"/>
      <protection hidden="1"/>
    </xf>
    <xf numFmtId="0" fontId="4" fillId="4" borderId="6" xfId="0" applyFont="1" applyFill="1" applyBorder="1" applyAlignment="1" applyProtection="1">
      <alignment horizontal="center" vertical="center" wrapText="1"/>
      <protection hidden="1"/>
    </xf>
    <xf numFmtId="0" fontId="4" fillId="12" borderId="6" xfId="0" applyFont="1" applyFill="1" applyBorder="1" applyAlignment="1" applyProtection="1">
      <alignment horizontal="center" vertical="center" wrapText="1"/>
      <protection hidden="1"/>
    </xf>
    <xf numFmtId="0" fontId="4" fillId="12" borderId="7" xfId="0" applyFont="1" applyFill="1" applyBorder="1" applyAlignment="1" applyProtection="1">
      <alignment horizontal="center" vertical="center" wrapText="1"/>
      <protection hidden="1"/>
    </xf>
    <xf numFmtId="0" fontId="0" fillId="5" borderId="5" xfId="0" applyFill="1" applyBorder="1" applyAlignment="1" applyProtection="1">
      <alignment horizontal="right" vertical="center" wrapText="1"/>
      <protection hidden="1"/>
    </xf>
    <xf numFmtId="164" fontId="3" fillId="0" borderId="6" xfId="2" applyNumberFormat="1" applyFont="1" applyFill="1" applyBorder="1" applyAlignment="1" applyProtection="1">
      <alignment vertical="center" wrapText="1"/>
      <protection hidden="1"/>
    </xf>
    <xf numFmtId="164" fontId="3" fillId="0" borderId="7" xfId="2" applyNumberFormat="1" applyFont="1" applyFill="1" applyBorder="1" applyAlignment="1" applyProtection="1">
      <alignment vertical="center" wrapText="1"/>
      <protection hidden="1"/>
    </xf>
    <xf numFmtId="165" fontId="3" fillId="0" borderId="6" xfId="1" applyNumberFormat="1" applyFont="1" applyFill="1" applyBorder="1" applyAlignment="1" applyProtection="1">
      <alignment vertical="center" wrapText="1"/>
      <protection hidden="1"/>
    </xf>
    <xf numFmtId="165" fontId="3" fillId="0" borderId="7" xfId="1" applyNumberFormat="1" applyFont="1" applyFill="1" applyBorder="1" applyAlignment="1" applyProtection="1">
      <alignment vertical="center" wrapText="1"/>
      <protection hidden="1"/>
    </xf>
    <xf numFmtId="164" fontId="3" fillId="0" borderId="6" xfId="1" applyNumberFormat="1" applyFont="1" applyFill="1" applyBorder="1" applyAlignment="1" applyProtection="1">
      <alignment vertical="center" wrapText="1"/>
      <protection hidden="1"/>
    </xf>
    <xf numFmtId="164" fontId="3" fillId="0" borderId="7" xfId="1" applyNumberFormat="1" applyFont="1" applyFill="1" applyBorder="1" applyAlignment="1" applyProtection="1">
      <alignment vertical="center" wrapText="1"/>
      <protection hidden="1"/>
    </xf>
    <xf numFmtId="0" fontId="4" fillId="7" borderId="5" xfId="0" applyFont="1" applyFill="1" applyBorder="1" applyAlignment="1" applyProtection="1">
      <alignment horizontal="right" vertical="center" wrapText="1"/>
      <protection hidden="1"/>
    </xf>
    <xf numFmtId="0" fontId="4" fillId="13" borderId="8" xfId="0" applyFont="1" applyFill="1" applyBorder="1" applyAlignment="1" applyProtection="1">
      <alignment horizontal="right" vertical="center" wrapText="1"/>
      <protection hidden="1"/>
    </xf>
    <xf numFmtId="164" fontId="0" fillId="0" borderId="0" xfId="0" applyNumberFormat="1"/>
    <xf numFmtId="164" fontId="0" fillId="0" borderId="0" xfId="0" applyNumberFormat="1" applyAlignment="1">
      <alignment vertical="center" wrapText="1"/>
    </xf>
    <xf numFmtId="164" fontId="3" fillId="0" borderId="6" xfId="0" applyNumberFormat="1" applyFont="1" applyFill="1" applyBorder="1" applyAlignment="1" applyProtection="1">
      <alignment vertical="center"/>
      <protection hidden="1"/>
    </xf>
    <xf numFmtId="164" fontId="3" fillId="0" borderId="7" xfId="0" applyNumberFormat="1" applyFont="1" applyFill="1" applyBorder="1" applyAlignment="1" applyProtection="1">
      <alignment vertical="center"/>
      <protection hidden="1"/>
    </xf>
    <xf numFmtId="0" fontId="4" fillId="14" borderId="5" xfId="0" applyFont="1" applyFill="1" applyBorder="1" applyAlignment="1" applyProtection="1">
      <alignment horizontal="right" vertical="center" wrapText="1"/>
      <protection hidden="1"/>
    </xf>
    <xf numFmtId="166" fontId="3" fillId="0" borderId="6" xfId="1" applyNumberFormat="1" applyFont="1" applyFill="1" applyBorder="1" applyAlignment="1" applyProtection="1">
      <alignment vertical="center" wrapText="1"/>
      <protection hidden="1"/>
    </xf>
    <xf numFmtId="0" fontId="4" fillId="5" borderId="5" xfId="0" applyFont="1" applyFill="1" applyBorder="1" applyAlignment="1" applyProtection="1">
      <alignment horizontal="right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3" fontId="3" fillId="6" borderId="6" xfId="1" applyNumberFormat="1" applyFont="1" applyFill="1" applyBorder="1" applyProtection="1">
      <protection hidden="1"/>
    </xf>
    <xf numFmtId="3" fontId="6" fillId="6" borderId="7" xfId="0" applyNumberFormat="1" applyFont="1" applyFill="1" applyBorder="1" applyProtection="1">
      <protection hidden="1"/>
    </xf>
    <xf numFmtId="0" fontId="2" fillId="8" borderId="5" xfId="0" applyFont="1" applyFill="1" applyBorder="1" applyAlignment="1" applyProtection="1">
      <alignment horizontal="center" vertical="center" wrapText="1"/>
      <protection hidden="1"/>
    </xf>
    <xf numFmtId="3" fontId="3" fillId="8" borderId="6" xfId="1" applyNumberFormat="1" applyFont="1" applyFill="1" applyBorder="1" applyAlignment="1" applyProtection="1">
      <alignment horizontal="center"/>
      <protection hidden="1"/>
    </xf>
    <xf numFmtId="3" fontId="6" fillId="8" borderId="7" xfId="0" applyNumberFormat="1" applyFont="1" applyFill="1" applyBorder="1" applyAlignment="1" applyProtection="1">
      <alignment horizontal="center"/>
      <protection hidden="1"/>
    </xf>
    <xf numFmtId="0" fontId="0" fillId="10" borderId="5" xfId="0" applyFill="1" applyBorder="1" applyAlignment="1" applyProtection="1">
      <alignment horizontal="right" vertical="center" wrapText="1"/>
      <protection hidden="1"/>
    </xf>
    <xf numFmtId="3" fontId="3" fillId="6" borderId="1" xfId="1" applyNumberFormat="1" applyFont="1" applyFill="1" applyBorder="1" applyProtection="1">
      <protection hidden="1"/>
    </xf>
    <xf numFmtId="3" fontId="6" fillId="0" borderId="7" xfId="0" applyNumberFormat="1" applyFont="1" applyFill="1" applyBorder="1" applyProtection="1">
      <protection hidden="1"/>
    </xf>
    <xf numFmtId="0" fontId="7" fillId="9" borderId="8" xfId="0" applyFont="1" applyFill="1" applyBorder="1" applyAlignment="1" applyProtection="1">
      <alignment horizontal="right" vertical="center" wrapText="1"/>
      <protection hidden="1"/>
    </xf>
    <xf numFmtId="3" fontId="6" fillId="7" borderId="9" xfId="1" applyNumberFormat="1" applyFont="1" applyFill="1" applyBorder="1" applyAlignment="1" applyProtection="1">
      <alignment vertical="center" wrapText="1"/>
      <protection hidden="1"/>
    </xf>
    <xf numFmtId="3" fontId="6" fillId="9" borderId="10" xfId="0" applyNumberFormat="1" applyFont="1" applyFill="1" applyBorder="1" applyProtection="1">
      <protection hidden="1"/>
    </xf>
    <xf numFmtId="0" fontId="0" fillId="0" borderId="15" xfId="0" applyBorder="1"/>
    <xf numFmtId="167" fontId="9" fillId="0" borderId="15" xfId="1" applyNumberFormat="1" applyFont="1" applyFill="1" applyBorder="1" applyAlignment="1">
      <alignment horizontal="center"/>
    </xf>
    <xf numFmtId="167" fontId="9" fillId="0" borderId="15" xfId="1" applyNumberFormat="1" applyFont="1" applyFill="1" applyBorder="1"/>
    <xf numFmtId="0" fontId="9" fillId="0" borderId="15" xfId="0" applyFont="1" applyBorder="1"/>
    <xf numFmtId="0" fontId="10" fillId="0" borderId="15" xfId="0" applyFont="1" applyBorder="1"/>
    <xf numFmtId="0" fontId="9" fillId="0" borderId="15" xfId="0" applyFont="1" applyBorder="1" applyAlignment="1">
      <alignment wrapText="1"/>
    </xf>
    <xf numFmtId="167" fontId="9" fillId="0" borderId="19" xfId="1" applyNumberFormat="1" applyFont="1" applyFill="1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167" fontId="9" fillId="0" borderId="15" xfId="1" applyNumberFormat="1" applyFont="1" applyFill="1" applyBorder="1" applyAlignment="1"/>
    <xf numFmtId="9" fontId="9" fillId="0" borderId="15" xfId="0" applyNumberFormat="1" applyFont="1" applyBorder="1"/>
    <xf numFmtId="0" fontId="11" fillId="0" borderId="15" xfId="0" applyFont="1" applyBorder="1"/>
    <xf numFmtId="0" fontId="4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right"/>
    </xf>
    <xf numFmtId="167" fontId="0" fillId="0" borderId="15" xfId="1" applyNumberFormat="1" applyFont="1" applyBorder="1" applyAlignment="1">
      <alignment horizontal="left"/>
    </xf>
    <xf numFmtId="167" fontId="8" fillId="0" borderId="15" xfId="1" applyNumberFormat="1" applyFont="1" applyBorder="1" applyAlignment="1">
      <alignment horizontal="left"/>
    </xf>
    <xf numFmtId="0" fontId="8" fillId="0" borderId="15" xfId="0" applyFont="1" applyBorder="1"/>
    <xf numFmtId="0" fontId="4" fillId="0" borderId="15" xfId="0" applyFont="1" applyBorder="1"/>
    <xf numFmtId="167" fontId="0" fillId="0" borderId="15" xfId="1" applyNumberFormat="1" applyFont="1" applyBorder="1"/>
    <xf numFmtId="167" fontId="0" fillId="0" borderId="15" xfId="0" applyNumberFormat="1" applyBorder="1"/>
    <xf numFmtId="9" fontId="0" fillId="0" borderId="15" xfId="0" applyNumberFormat="1" applyBorder="1"/>
    <xf numFmtId="44" fontId="0" fillId="0" borderId="15" xfId="1" applyFont="1" applyBorder="1"/>
    <xf numFmtId="167" fontId="4" fillId="0" borderId="15" xfId="1" applyNumberFormat="1" applyFont="1" applyBorder="1"/>
    <xf numFmtId="0" fontId="0" fillId="0" borderId="15" xfId="0" applyBorder="1" applyAlignment="1">
      <alignment wrapText="1"/>
    </xf>
    <xf numFmtId="3" fontId="0" fillId="0" borderId="15" xfId="1" applyNumberFormat="1" applyFont="1" applyBorder="1" applyAlignment="1">
      <alignment horizontal="right"/>
    </xf>
    <xf numFmtId="169" fontId="0" fillId="0" borderId="15" xfId="1" applyNumberFormat="1" applyFont="1" applyBorder="1" applyAlignment="1">
      <alignment horizontal="right"/>
    </xf>
    <xf numFmtId="167" fontId="8" fillId="0" borderId="15" xfId="0" applyNumberFormat="1" applyFont="1" applyBorder="1"/>
    <xf numFmtId="0" fontId="0" fillId="0" borderId="19" xfId="0" applyBorder="1"/>
    <xf numFmtId="167" fontId="0" fillId="0" borderId="19" xfId="1" applyNumberFormat="1" applyFont="1" applyBorder="1"/>
    <xf numFmtId="167" fontId="0" fillId="0" borderId="20" xfId="1" applyNumberFormat="1" applyFont="1" applyBorder="1"/>
    <xf numFmtId="0" fontId="0" fillId="0" borderId="21" xfId="0" applyBorder="1"/>
    <xf numFmtId="0" fontId="0" fillId="0" borderId="15" xfId="0" applyBorder="1" applyAlignment="1">
      <alignment horizontal="left" indent="1"/>
    </xf>
    <xf numFmtId="0" fontId="0" fillId="0" borderId="16" xfId="0" applyBorder="1"/>
    <xf numFmtId="0" fontId="0" fillId="0" borderId="18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9" fillId="0" borderId="16" xfId="0" applyFont="1" applyBorder="1" applyAlignment="1">
      <alignment horizontal="left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wrapText="1"/>
    </xf>
    <xf numFmtId="0" fontId="9" fillId="0" borderId="16" xfId="0" applyFont="1" applyBorder="1" applyAlignment="1">
      <alignment horizontal="left" wrapText="1"/>
    </xf>
    <xf numFmtId="0" fontId="9" fillId="0" borderId="16" xfId="0" applyFont="1" applyBorder="1"/>
    <xf numFmtId="0" fontId="9" fillId="0" borderId="18" xfId="0" applyFont="1" applyBorder="1"/>
    <xf numFmtId="0" fontId="9" fillId="0" borderId="19" xfId="0" applyFont="1" applyBorder="1" applyAlignment="1">
      <alignment wrapText="1"/>
    </xf>
    <xf numFmtId="167" fontId="9" fillId="0" borderId="19" xfId="1" applyNumberFormat="1" applyFont="1" applyFill="1" applyBorder="1"/>
    <xf numFmtId="0" fontId="9" fillId="0" borderId="19" xfId="0" applyFont="1" applyBorder="1"/>
    <xf numFmtId="0" fontId="9" fillId="0" borderId="21" xfId="0" applyFont="1" applyBorder="1"/>
    <xf numFmtId="0" fontId="10" fillId="13" borderId="1" xfId="0" applyFont="1" applyFill="1" applyBorder="1" applyAlignment="1">
      <alignment horizontal="left"/>
    </xf>
    <xf numFmtId="0" fontId="10" fillId="1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167" fontId="9" fillId="0" borderId="1" xfId="1" applyNumberFormat="1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left" indent="1"/>
    </xf>
    <xf numFmtId="169" fontId="9" fillId="0" borderId="1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7" fontId="9" fillId="0" borderId="18" xfId="1" applyNumberFormat="1" applyFont="1" applyFill="1" applyBorder="1" applyAlignment="1">
      <alignment horizontal="center"/>
    </xf>
    <xf numFmtId="167" fontId="10" fillId="13" borderId="1" xfId="1" applyNumberFormat="1" applyFont="1" applyFill="1" applyBorder="1" applyAlignment="1">
      <alignment horizontal="center"/>
    </xf>
    <xf numFmtId="44" fontId="9" fillId="0" borderId="1" xfId="1" applyFont="1" applyFill="1" applyBorder="1" applyAlignment="1">
      <alignment horizontal="center"/>
    </xf>
    <xf numFmtId="0" fontId="9" fillId="0" borderId="33" xfId="0" applyFont="1" applyBorder="1"/>
    <xf numFmtId="0" fontId="10" fillId="13" borderId="1" xfId="0" applyFont="1" applyFill="1" applyBorder="1" applyAlignment="1">
      <alignment horizontal="center" vertical="center" wrapText="1"/>
    </xf>
    <xf numFmtId="44" fontId="9" fillId="0" borderId="1" xfId="1" applyFont="1" applyBorder="1" applyAlignment="1">
      <alignment wrapText="1"/>
    </xf>
    <xf numFmtId="44" fontId="9" fillId="0" borderId="1" xfId="1" applyFont="1" applyBorder="1"/>
    <xf numFmtId="167" fontId="14" fillId="0" borderId="15" xfId="1" applyNumberFormat="1" applyFont="1" applyFill="1" applyBorder="1" applyAlignment="1">
      <alignment horizontal="left"/>
    </xf>
    <xf numFmtId="0" fontId="10" fillId="13" borderId="1" xfId="0" applyFont="1" applyFill="1" applyBorder="1" applyAlignment="1">
      <alignment horizontal="left" vertical="center" wrapText="1"/>
    </xf>
    <xf numFmtId="9" fontId="9" fillId="0" borderId="1" xfId="3" applyFont="1" applyFill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vertical="top" wrapText="1"/>
    </xf>
    <xf numFmtId="9" fontId="9" fillId="0" borderId="1" xfId="3" applyFont="1" applyFill="1" applyBorder="1" applyAlignment="1">
      <alignment horizontal="center" vertical="center"/>
    </xf>
    <xf numFmtId="0" fontId="9" fillId="0" borderId="15" xfId="0" applyFont="1" applyBorder="1" applyAlignment="1">
      <alignment horizontal="left" wrapText="1" indent="1"/>
    </xf>
    <xf numFmtId="0" fontId="0" fillId="0" borderId="0" xfId="0" applyBorder="1"/>
    <xf numFmtId="0" fontId="15" fillId="0" borderId="15" xfId="0" applyFont="1" applyBorder="1"/>
    <xf numFmtId="0" fontId="16" fillId="15" borderId="15" xfId="0" applyFont="1" applyFill="1" applyBorder="1" applyAlignment="1">
      <alignment horizontal="center"/>
    </xf>
    <xf numFmtId="0" fontId="10" fillId="0" borderId="20" xfId="0" applyFont="1" applyBorder="1"/>
    <xf numFmtId="167" fontId="10" fillId="0" borderId="20" xfId="1" applyNumberFormat="1" applyFont="1" applyBorder="1"/>
    <xf numFmtId="9" fontId="9" fillId="0" borderId="15" xfId="3" applyFont="1" applyBorder="1"/>
    <xf numFmtId="0" fontId="10" fillId="13" borderId="1" xfId="0" applyFont="1" applyFill="1" applyBorder="1" applyAlignment="1">
      <alignment horizontal="center" vertical="center" wrapText="1"/>
    </xf>
    <xf numFmtId="0" fontId="4" fillId="0" borderId="16" xfId="0" applyFont="1" applyBorder="1"/>
    <xf numFmtId="167" fontId="9" fillId="0" borderId="21" xfId="1" applyNumberFormat="1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9" fillId="15" borderId="1" xfId="0" applyFont="1" applyFill="1" applyBorder="1" applyAlignment="1"/>
    <xf numFmtId="0" fontId="9" fillId="0" borderId="1" xfId="0" applyFont="1" applyBorder="1" applyAlignment="1">
      <alignment wrapText="1"/>
    </xf>
    <xf numFmtId="9" fontId="9" fillId="0" borderId="1" xfId="0" applyNumberFormat="1" applyFont="1" applyBorder="1"/>
    <xf numFmtId="3" fontId="9" fillId="0" borderId="1" xfId="1" applyNumberFormat="1" applyFont="1" applyBorder="1" applyAlignment="1">
      <alignment horizontal="right"/>
    </xf>
    <xf numFmtId="3" fontId="19" fillId="0" borderId="1" xfId="1" applyNumberFormat="1" applyFont="1" applyBorder="1" applyAlignment="1"/>
    <xf numFmtId="3" fontId="19" fillId="15" borderId="1" xfId="1" applyNumberFormat="1" applyFont="1" applyFill="1" applyBorder="1" applyAlignment="1"/>
    <xf numFmtId="169" fontId="9" fillId="0" borderId="1" xfId="1" applyNumberFormat="1" applyFont="1" applyBorder="1" applyAlignment="1">
      <alignment horizontal="right"/>
    </xf>
    <xf numFmtId="0" fontId="10" fillId="0" borderId="1" xfId="0" applyFont="1" applyBorder="1"/>
    <xf numFmtId="168" fontId="10" fillId="0" borderId="1" xfId="1" applyNumberFormat="1" applyFont="1" applyBorder="1" applyAlignment="1">
      <alignment horizontal="left" indent="1"/>
    </xf>
    <xf numFmtId="3" fontId="17" fillId="0" borderId="1" xfId="1" applyNumberFormat="1" applyFont="1" applyBorder="1" applyAlignment="1"/>
    <xf numFmtId="3" fontId="17" fillId="15" borderId="1" xfId="1" applyNumberFormat="1" applyFont="1" applyFill="1" applyBorder="1" applyAlignment="1"/>
    <xf numFmtId="0" fontId="17" fillId="0" borderId="1" xfId="0" applyFont="1" applyBorder="1" applyAlignment="1">
      <alignment horizontal="left"/>
    </xf>
    <xf numFmtId="44" fontId="19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right"/>
    </xf>
    <xf numFmtId="3" fontId="19" fillId="0" borderId="1" xfId="0" applyNumberFormat="1" applyFont="1" applyBorder="1" applyAlignment="1">
      <alignment horizontal="right"/>
    </xf>
    <xf numFmtId="0" fontId="12" fillId="13" borderId="1" xfId="0" applyFont="1" applyFill="1" applyBorder="1" applyAlignment="1">
      <alignment horizontal="left"/>
    </xf>
    <xf numFmtId="1" fontId="19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left"/>
    </xf>
    <xf numFmtId="167" fontId="9" fillId="0" borderId="1" xfId="1" applyNumberFormat="1" applyFont="1" applyBorder="1" applyAlignment="1">
      <alignment horizontal="left"/>
    </xf>
    <xf numFmtId="167" fontId="10" fillId="0" borderId="1" xfId="1" applyNumberFormat="1" applyFont="1" applyBorder="1" applyAlignment="1">
      <alignment horizontal="left"/>
    </xf>
    <xf numFmtId="9" fontId="10" fillId="0" borderId="20" xfId="0" applyNumberFormat="1" applyFont="1" applyBorder="1"/>
    <xf numFmtId="167" fontId="18" fillId="0" borderId="21" xfId="1" applyNumberFormat="1" applyFont="1" applyBorder="1" applyAlignment="1">
      <alignment horizontal="left"/>
    </xf>
    <xf numFmtId="167" fontId="9" fillId="0" borderId="33" xfId="1" applyNumberFormat="1" applyFont="1" applyBorder="1" applyAlignment="1">
      <alignment horizontal="left"/>
    </xf>
    <xf numFmtId="167" fontId="9" fillId="0" borderId="1" xfId="0" applyNumberFormat="1" applyFont="1" applyBorder="1"/>
    <xf numFmtId="167" fontId="9" fillId="0" borderId="1" xfId="1" applyNumberFormat="1" applyFont="1" applyBorder="1"/>
    <xf numFmtId="9" fontId="9" fillId="0" borderId="1" xfId="3" applyFont="1" applyFill="1" applyBorder="1" applyAlignment="1">
      <alignment horizontal="left" wrapText="1"/>
    </xf>
    <xf numFmtId="1" fontId="17" fillId="0" borderId="1" xfId="0" applyNumberFormat="1" applyFont="1" applyBorder="1" applyAlignment="1">
      <alignment horizontal="right"/>
    </xf>
    <xf numFmtId="44" fontId="17" fillId="0" borderId="1" xfId="0" applyNumberFormat="1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9" fillId="0" borderId="19" xfId="0" applyFont="1" applyBorder="1" applyAlignment="1">
      <alignment horizontal="right"/>
    </xf>
    <xf numFmtId="0" fontId="18" fillId="0" borderId="19" xfId="0" applyFont="1" applyBorder="1"/>
    <xf numFmtId="0" fontId="9" fillId="0" borderId="21" xfId="0" applyFont="1" applyBorder="1" applyAlignment="1">
      <alignment horizontal="right"/>
    </xf>
    <xf numFmtId="44" fontId="19" fillId="0" borderId="1" xfId="0" applyNumberFormat="1" applyFont="1" applyBorder="1" applyAlignment="1">
      <alignment horizontal="right"/>
    </xf>
    <xf numFmtId="167" fontId="19" fillId="0" borderId="1" xfId="0" applyNumberFormat="1" applyFont="1" applyBorder="1" applyAlignment="1">
      <alignment horizontal="right"/>
    </xf>
    <xf numFmtId="167" fontId="17" fillId="0" borderId="1" xfId="0" applyNumberFormat="1" applyFont="1" applyBorder="1" applyAlignment="1">
      <alignment horizontal="right"/>
    </xf>
    <xf numFmtId="167" fontId="17" fillId="15" borderId="1" xfId="0" applyNumberFormat="1" applyFont="1" applyFill="1" applyBorder="1" applyAlignment="1">
      <alignment horizontal="right"/>
    </xf>
    <xf numFmtId="0" fontId="10" fillId="0" borderId="19" xfId="0" applyFont="1" applyBorder="1"/>
    <xf numFmtId="44" fontId="9" fillId="0" borderId="1" xfId="0" applyNumberFormat="1" applyFont="1" applyBorder="1"/>
    <xf numFmtId="167" fontId="19" fillId="15" borderId="1" xfId="0" applyNumberFormat="1" applyFont="1" applyFill="1" applyBorder="1"/>
    <xf numFmtId="0" fontId="0" fillId="0" borderId="36" xfId="0" applyBorder="1"/>
    <xf numFmtId="0" fontId="11" fillId="0" borderId="19" xfId="0" applyFont="1" applyBorder="1"/>
    <xf numFmtId="167" fontId="0" fillId="0" borderId="21" xfId="1" applyNumberFormat="1" applyFont="1" applyBorder="1"/>
    <xf numFmtId="167" fontId="19" fillId="0" borderId="1" xfId="1" applyNumberFormat="1" applyFont="1" applyBorder="1" applyAlignment="1">
      <alignment horizontal="right"/>
    </xf>
    <xf numFmtId="167" fontId="17" fillId="0" borderId="1" xfId="1" applyNumberFormat="1" applyFont="1" applyBorder="1" applyAlignment="1">
      <alignment horizontal="right"/>
    </xf>
    <xf numFmtId="167" fontId="17" fillId="15" borderId="1" xfId="1" applyNumberFormat="1" applyFont="1" applyFill="1" applyBorder="1" applyAlignment="1">
      <alignment horizontal="right"/>
    </xf>
    <xf numFmtId="169" fontId="17" fillId="15" borderId="1" xfId="0" applyNumberFormat="1" applyFont="1" applyFill="1" applyBorder="1" applyAlignment="1">
      <alignment horizontal="right"/>
    </xf>
    <xf numFmtId="1" fontId="17" fillId="15" borderId="1" xfId="0" applyNumberFormat="1" applyFont="1" applyFill="1" applyBorder="1" applyAlignment="1">
      <alignment horizontal="right"/>
    </xf>
    <xf numFmtId="167" fontId="17" fillId="15" borderId="1" xfId="1" applyNumberFormat="1" applyFont="1" applyFill="1" applyBorder="1" applyAlignment="1">
      <alignment horizontal="left"/>
    </xf>
    <xf numFmtId="167" fontId="9" fillId="15" borderId="15" xfId="1" applyNumberFormat="1" applyFont="1" applyFill="1" applyBorder="1"/>
    <xf numFmtId="167" fontId="10" fillId="15" borderId="20" xfId="1" applyNumberFormat="1" applyFont="1" applyFill="1" applyBorder="1"/>
    <xf numFmtId="167" fontId="3" fillId="0" borderId="21" xfId="1" applyNumberFormat="1" applyFont="1" applyBorder="1"/>
    <xf numFmtId="167" fontId="3" fillId="0" borderId="19" xfId="1" applyNumberFormat="1" applyFont="1" applyBorder="1"/>
    <xf numFmtId="167" fontId="3" fillId="0" borderId="15" xfId="1" applyNumberFormat="1" applyFont="1" applyBorder="1"/>
    <xf numFmtId="0" fontId="12" fillId="13" borderId="30" xfId="0" applyFont="1" applyFill="1" applyBorder="1" applyAlignment="1"/>
    <xf numFmtId="167" fontId="20" fillId="0" borderId="1" xfId="1" applyNumberFormat="1" applyFont="1" applyBorder="1"/>
    <xf numFmtId="167" fontId="20" fillId="15" borderId="1" xfId="0" applyNumberFormat="1" applyFont="1" applyFill="1" applyBorder="1"/>
    <xf numFmtId="167" fontId="20" fillId="15" borderId="1" xfId="1" applyNumberFormat="1" applyFont="1" applyFill="1" applyBorder="1"/>
    <xf numFmtId="0" fontId="9" fillId="0" borderId="1" xfId="0" applyFont="1" applyBorder="1" applyAlignment="1">
      <alignment horizontal="left" indent="2"/>
    </xf>
    <xf numFmtId="167" fontId="21" fillId="0" borderId="1" xfId="1" applyNumberFormat="1" applyFont="1" applyBorder="1"/>
    <xf numFmtId="167" fontId="21" fillId="15" borderId="1" xfId="1" applyNumberFormat="1" applyFont="1" applyFill="1" applyBorder="1"/>
    <xf numFmtId="167" fontId="20" fillId="0" borderId="15" xfId="1" applyNumberFormat="1" applyFont="1" applyBorder="1"/>
    <xf numFmtId="167" fontId="20" fillId="0" borderId="15" xfId="0" applyNumberFormat="1" applyFont="1" applyBorder="1"/>
    <xf numFmtId="167" fontId="20" fillId="0" borderId="19" xfId="1" applyNumberFormat="1" applyFont="1" applyBorder="1"/>
    <xf numFmtId="167" fontId="21" fillId="0" borderId="20" xfId="1" applyNumberFormat="1" applyFont="1" applyBorder="1"/>
    <xf numFmtId="167" fontId="21" fillId="0" borderId="21" xfId="1" applyNumberFormat="1" applyFont="1" applyBorder="1"/>
    <xf numFmtId="167" fontId="21" fillId="0" borderId="21" xfId="0" applyNumberFormat="1" applyFont="1" applyBorder="1"/>
    <xf numFmtId="168" fontId="20" fillId="0" borderId="15" xfId="1" applyNumberFormat="1" applyFont="1" applyBorder="1" applyAlignment="1">
      <alignment horizontal="right"/>
    </xf>
    <xf numFmtId="168" fontId="21" fillId="15" borderId="15" xfId="1" applyNumberFormat="1" applyFont="1" applyFill="1" applyBorder="1" applyAlignment="1">
      <alignment horizontal="right"/>
    </xf>
    <xf numFmtId="167" fontId="20" fillId="0" borderId="19" xfId="1" applyNumberFormat="1" applyFont="1" applyBorder="1" applyAlignment="1">
      <alignment horizontal="left"/>
    </xf>
    <xf numFmtId="167" fontId="21" fillId="15" borderId="19" xfId="1" applyNumberFormat="1" applyFont="1" applyFill="1" applyBorder="1" applyAlignment="1">
      <alignment horizontal="left"/>
    </xf>
    <xf numFmtId="167" fontId="21" fillId="0" borderId="20" xfId="1" applyNumberFormat="1" applyFont="1" applyBorder="1" applyAlignment="1">
      <alignment horizontal="left"/>
    </xf>
    <xf numFmtId="167" fontId="21" fillId="15" borderId="20" xfId="1" applyNumberFormat="1" applyFont="1" applyFill="1" applyBorder="1" applyAlignment="1">
      <alignment horizontal="left"/>
    </xf>
    <xf numFmtId="167" fontId="20" fillId="0" borderId="15" xfId="0" applyNumberFormat="1" applyFont="1" applyBorder="1" applyAlignment="1">
      <alignment horizontal="right"/>
    </xf>
    <xf numFmtId="167" fontId="21" fillId="15" borderId="15" xfId="0" applyNumberFormat="1" applyFont="1" applyFill="1" applyBorder="1"/>
    <xf numFmtId="0" fontId="3" fillId="0" borderId="15" xfId="0" applyFont="1" applyBorder="1"/>
    <xf numFmtId="0" fontId="0" fillId="0" borderId="43" xfId="0" applyBorder="1"/>
    <xf numFmtId="0" fontId="0" fillId="0" borderId="44" xfId="0" applyBorder="1"/>
    <xf numFmtId="170" fontId="20" fillId="15" borderId="1" xfId="0" applyNumberFormat="1" applyFont="1" applyFill="1" applyBorder="1"/>
    <xf numFmtId="170" fontId="0" fillId="0" borderId="18" xfId="0" applyNumberFormat="1" applyBorder="1"/>
    <xf numFmtId="170" fontId="20" fillId="15" borderId="1" xfId="1" applyNumberFormat="1" applyFont="1" applyFill="1" applyBorder="1"/>
    <xf numFmtId="170" fontId="21" fillId="15" borderId="1" xfId="1" applyNumberFormat="1" applyFont="1" applyFill="1" applyBorder="1"/>
    <xf numFmtId="0" fontId="22" fillId="0" borderId="15" xfId="0" applyFont="1" applyBorder="1"/>
    <xf numFmtId="0" fontId="0" fillId="0" borderId="17" xfId="0" applyBorder="1"/>
    <xf numFmtId="0" fontId="10" fillId="13" borderId="45" xfId="0" applyFont="1" applyFill="1" applyBorder="1" applyAlignment="1">
      <alignment horizontal="center" vertical="center"/>
    </xf>
    <xf numFmtId="0" fontId="10" fillId="13" borderId="46" xfId="0" applyFont="1" applyFill="1" applyBorder="1" applyAlignment="1">
      <alignment horizontal="center" vertical="center"/>
    </xf>
    <xf numFmtId="0" fontId="10" fillId="13" borderId="46" xfId="0" applyFont="1" applyFill="1" applyBorder="1" applyAlignment="1">
      <alignment horizontal="center" vertical="center" wrapText="1"/>
    </xf>
    <xf numFmtId="0" fontId="10" fillId="13" borderId="47" xfId="0" applyFont="1" applyFill="1" applyBorder="1" applyAlignment="1">
      <alignment horizontal="center" vertical="center" wrapText="1"/>
    </xf>
    <xf numFmtId="0" fontId="0" fillId="0" borderId="48" xfId="0" applyBorder="1"/>
    <xf numFmtId="0" fontId="0" fillId="0" borderId="49" xfId="0" applyBorder="1"/>
    <xf numFmtId="167" fontId="19" fillId="0" borderId="50" xfId="1" applyNumberFormat="1" applyFont="1" applyBorder="1"/>
    <xf numFmtId="9" fontId="0" fillId="0" borderId="49" xfId="3" applyFont="1" applyBorder="1"/>
    <xf numFmtId="167" fontId="20" fillId="0" borderId="50" xfId="1" applyNumberFormat="1" applyFont="1" applyBorder="1"/>
    <xf numFmtId="167" fontId="21" fillId="0" borderId="50" xfId="1" applyNumberFormat="1" applyFont="1" applyBorder="1"/>
    <xf numFmtId="167" fontId="21" fillId="0" borderId="52" xfId="1" applyNumberFormat="1" applyFont="1" applyBorder="1"/>
    <xf numFmtId="167" fontId="21" fillId="0" borderId="53" xfId="1" applyNumberFormat="1" applyFont="1" applyBorder="1"/>
    <xf numFmtId="170" fontId="21" fillId="15" borderId="53" xfId="1" applyNumberFormat="1" applyFont="1" applyFill="1" applyBorder="1"/>
    <xf numFmtId="170" fontId="20" fillId="15" borderId="51" xfId="0" applyNumberFormat="1" applyFont="1" applyFill="1" applyBorder="1"/>
    <xf numFmtId="170" fontId="0" fillId="0" borderId="49" xfId="0" applyNumberFormat="1" applyBorder="1"/>
    <xf numFmtId="170" fontId="20" fillId="15" borderId="51" xfId="1" applyNumberFormat="1" applyFont="1" applyFill="1" applyBorder="1"/>
    <xf numFmtId="170" fontId="21" fillId="15" borderId="51" xfId="1" applyNumberFormat="1" applyFont="1" applyFill="1" applyBorder="1"/>
    <xf numFmtId="167" fontId="21" fillId="15" borderId="53" xfId="1" applyNumberFormat="1" applyFont="1" applyFill="1" applyBorder="1"/>
    <xf numFmtId="170" fontId="21" fillId="15" borderId="54" xfId="1" applyNumberFormat="1" applyFont="1" applyFill="1" applyBorder="1"/>
    <xf numFmtId="0" fontId="12" fillId="13" borderId="55" xfId="0" applyFont="1" applyFill="1" applyBorder="1" applyAlignment="1">
      <alignment horizontal="center" vertical="center"/>
    </xf>
    <xf numFmtId="0" fontId="0" fillId="0" borderId="56" xfId="0" applyBorder="1"/>
    <xf numFmtId="0" fontId="10" fillId="0" borderId="57" xfId="0" applyFont="1" applyBorder="1"/>
    <xf numFmtId="0" fontId="10" fillId="0" borderId="57" xfId="0" applyFont="1" applyBorder="1" applyAlignment="1">
      <alignment horizontal="left"/>
    </xf>
    <xf numFmtId="0" fontId="9" fillId="0" borderId="57" xfId="0" applyFont="1" applyBorder="1" applyAlignment="1">
      <alignment horizontal="left" indent="1"/>
    </xf>
    <xf numFmtId="0" fontId="9" fillId="0" borderId="57" xfId="0" applyFont="1" applyBorder="1" applyAlignment="1">
      <alignment horizontal="left" indent="2"/>
    </xf>
    <xf numFmtId="0" fontId="10" fillId="0" borderId="58" xfId="0" applyFont="1" applyBorder="1"/>
    <xf numFmtId="9" fontId="20" fillId="0" borderId="1" xfId="3" applyFont="1" applyBorder="1"/>
    <xf numFmtId="9" fontId="0" fillId="0" borderId="18" xfId="3" applyFont="1" applyBorder="1"/>
    <xf numFmtId="9" fontId="21" fillId="0" borderId="1" xfId="3" applyFont="1" applyBorder="1"/>
    <xf numFmtId="9" fontId="21" fillId="0" borderId="53" xfId="3" applyFont="1" applyBorder="1"/>
    <xf numFmtId="0" fontId="10" fillId="13" borderId="59" xfId="0" applyFont="1" applyFill="1" applyBorder="1" applyAlignment="1">
      <alignment horizontal="center" vertical="center" wrapText="1"/>
    </xf>
    <xf numFmtId="9" fontId="20" fillId="15" borderId="60" xfId="3" applyFont="1" applyFill="1" applyBorder="1"/>
    <xf numFmtId="9" fontId="20" fillId="15" borderId="61" xfId="3" applyFont="1" applyFill="1" applyBorder="1"/>
    <xf numFmtId="0" fontId="10" fillId="13" borderId="1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left"/>
    </xf>
    <xf numFmtId="0" fontId="9" fillId="0" borderId="62" xfId="0" applyFont="1" applyBorder="1" applyAlignment="1">
      <alignment wrapText="1"/>
    </xf>
    <xf numFmtId="0" fontId="23" fillId="0" borderId="15" xfId="0" applyFont="1" applyBorder="1"/>
    <xf numFmtId="167" fontId="9" fillId="0" borderId="1" xfId="1" applyNumberFormat="1" applyFont="1" applyFill="1" applyBorder="1" applyAlignment="1">
      <alignment horizontal="left"/>
    </xf>
    <xf numFmtId="167" fontId="9" fillId="0" borderId="1" xfId="1" applyNumberFormat="1" applyFont="1" applyFill="1" applyBorder="1" applyAlignment="1">
      <alignment horizontal="left" wrapText="1"/>
    </xf>
    <xf numFmtId="167" fontId="19" fillId="0" borderId="15" xfId="1" applyNumberFormat="1" applyFont="1" applyBorder="1"/>
    <xf numFmtId="168" fontId="19" fillId="0" borderId="15" xfId="1" applyNumberFormat="1" applyFont="1" applyBorder="1" applyAlignment="1">
      <alignment horizontal="right"/>
    </xf>
    <xf numFmtId="167" fontId="19" fillId="0" borderId="19" xfId="1" applyNumberFormat="1" applyFont="1" applyBorder="1" applyAlignment="1">
      <alignment horizontal="left"/>
    </xf>
    <xf numFmtId="167" fontId="17" fillId="0" borderId="20" xfId="1" applyNumberFormat="1" applyFont="1" applyBorder="1" applyAlignment="1">
      <alignment horizontal="left"/>
    </xf>
    <xf numFmtId="167" fontId="19" fillId="0" borderId="15" xfId="0" applyNumberFormat="1" applyFont="1" applyBorder="1" applyAlignment="1">
      <alignment horizontal="left"/>
    </xf>
    <xf numFmtId="167" fontId="19" fillId="0" borderId="15" xfId="0" applyNumberFormat="1" applyFont="1" applyBorder="1"/>
    <xf numFmtId="0" fontId="24" fillId="0" borderId="15" xfId="0" applyFont="1" applyBorder="1"/>
    <xf numFmtId="167" fontId="19" fillId="0" borderId="19" xfId="1" applyNumberFormat="1" applyFont="1" applyBorder="1"/>
    <xf numFmtId="167" fontId="17" fillId="0" borderId="20" xfId="1" applyNumberFormat="1" applyFont="1" applyBorder="1"/>
    <xf numFmtId="167" fontId="17" fillId="0" borderId="21" xfId="1" applyNumberFormat="1" applyFont="1" applyBorder="1"/>
    <xf numFmtId="0" fontId="20" fillId="0" borderId="1" xfId="0" applyFont="1" applyBorder="1" applyAlignment="1"/>
    <xf numFmtId="3" fontId="20" fillId="0" borderId="1" xfId="1" applyNumberFormat="1" applyFont="1" applyBorder="1" applyAlignment="1"/>
    <xf numFmtId="0" fontId="19" fillId="0" borderId="1" xfId="0" applyFont="1" applyBorder="1"/>
    <xf numFmtId="0" fontId="10" fillId="0" borderId="30" xfId="0" applyFont="1" applyBorder="1" applyAlignment="1"/>
    <xf numFmtId="0" fontId="4" fillId="0" borderId="19" xfId="0" applyFont="1" applyBorder="1"/>
    <xf numFmtId="167" fontId="9" fillId="0" borderId="19" xfId="1" applyNumberFormat="1" applyFont="1" applyBorder="1" applyAlignment="1">
      <alignment horizontal="left"/>
    </xf>
    <xf numFmtId="167" fontId="20" fillId="0" borderId="1" xfId="1" applyNumberFormat="1" applyFont="1" applyBorder="1" applyAlignment="1">
      <alignment horizontal="left"/>
    </xf>
    <xf numFmtId="167" fontId="20" fillId="0" borderId="1" xfId="0" applyNumberFormat="1" applyFont="1" applyBorder="1"/>
    <xf numFmtId="167" fontId="20" fillId="0" borderId="1" xfId="1" applyNumberFormat="1" applyFont="1" applyBorder="1" applyAlignment="1">
      <alignment horizontal="right"/>
    </xf>
    <xf numFmtId="0" fontId="14" fillId="0" borderId="15" xfId="0" applyFont="1" applyBorder="1" applyAlignment="1">
      <alignment horizontal="left" wrapText="1" indent="1"/>
    </xf>
    <xf numFmtId="167" fontId="14" fillId="0" borderId="15" xfId="1" applyNumberFormat="1" applyFont="1" applyFill="1" applyBorder="1" applyAlignment="1">
      <alignment horizontal="center"/>
    </xf>
    <xf numFmtId="167" fontId="20" fillId="0" borderId="1" xfId="0" applyNumberFormat="1" applyFont="1" applyBorder="1" applyAlignment="1">
      <alignment horizontal="right"/>
    </xf>
    <xf numFmtId="44" fontId="20" fillId="0" borderId="1" xfId="0" applyNumberFormat="1" applyFont="1" applyBorder="1"/>
    <xf numFmtId="167" fontId="14" fillId="0" borderId="19" xfId="1" applyNumberFormat="1" applyFont="1" applyFill="1" applyBorder="1" applyAlignment="1">
      <alignment horizontal="left"/>
    </xf>
    <xf numFmtId="0" fontId="0" fillId="0" borderId="19" xfId="0" applyBorder="1" applyAlignment="1">
      <alignment horizontal="right"/>
    </xf>
    <xf numFmtId="0" fontId="8" fillId="0" borderId="19" xfId="0" applyFont="1" applyBorder="1"/>
    <xf numFmtId="0" fontId="0" fillId="0" borderId="64" xfId="0" applyBorder="1"/>
    <xf numFmtId="0" fontId="0" fillId="0" borderId="65" xfId="0" applyBorder="1"/>
    <xf numFmtId="167" fontId="19" fillId="0" borderId="1" xfId="1" applyNumberFormat="1" applyFont="1" applyBorder="1"/>
    <xf numFmtId="0" fontId="24" fillId="0" borderId="19" xfId="0" applyFont="1" applyBorder="1"/>
    <xf numFmtId="0" fontId="24" fillId="0" borderId="64" xfId="0" applyFont="1" applyBorder="1"/>
    <xf numFmtId="167" fontId="17" fillId="0" borderId="1" xfId="1" applyNumberFormat="1" applyFont="1" applyBorder="1"/>
    <xf numFmtId="0" fontId="10" fillId="13" borderId="63" xfId="0" applyFont="1" applyFill="1" applyBorder="1" applyAlignment="1">
      <alignment horizontal="center" vertical="center" wrapText="1"/>
    </xf>
    <xf numFmtId="167" fontId="14" fillId="0" borderId="21" xfId="1" applyNumberFormat="1" applyFont="1" applyFill="1" applyBorder="1" applyAlignment="1">
      <alignment horizontal="left"/>
    </xf>
    <xf numFmtId="0" fontId="9" fillId="0" borderId="1" xfId="0" applyFont="1" applyBorder="1" applyAlignment="1"/>
    <xf numFmtId="0" fontId="24" fillId="0" borderId="48" xfId="0" applyFont="1" applyBorder="1"/>
    <xf numFmtId="0" fontId="24" fillId="0" borderId="18" xfId="0" applyFont="1" applyBorder="1"/>
    <xf numFmtId="167" fontId="17" fillId="0" borderId="50" xfId="1" applyNumberFormat="1" applyFont="1" applyBorder="1"/>
    <xf numFmtId="167" fontId="17" fillId="0" borderId="52" xfId="1" applyNumberFormat="1" applyFont="1" applyBorder="1"/>
    <xf numFmtId="167" fontId="17" fillId="0" borderId="53" xfId="1" applyNumberFormat="1" applyFont="1" applyBorder="1"/>
    <xf numFmtId="0" fontId="0" fillId="0" borderId="66" xfId="0" applyBorder="1"/>
    <xf numFmtId="0" fontId="0" fillId="0" borderId="67" xfId="0" applyBorder="1"/>
    <xf numFmtId="0" fontId="10" fillId="13" borderId="68" xfId="0" applyFont="1" applyFill="1" applyBorder="1" applyAlignment="1">
      <alignment horizontal="center" vertical="center"/>
    </xf>
    <xf numFmtId="0" fontId="10" fillId="13" borderId="69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10" fillId="13" borderId="30" xfId="0" applyFont="1" applyFill="1" applyBorder="1" applyAlignment="1">
      <alignment horizontal="left" vertical="center" wrapText="1"/>
    </xf>
    <xf numFmtId="0" fontId="10" fillId="13" borderId="31" xfId="0" applyFont="1" applyFill="1" applyBorder="1" applyAlignment="1">
      <alignment horizontal="left" vertical="center" wrapText="1"/>
    </xf>
    <xf numFmtId="0" fontId="10" fillId="13" borderId="32" xfId="0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left" wrapText="1"/>
    </xf>
    <xf numFmtId="0" fontId="12" fillId="0" borderId="17" xfId="0" applyFont="1" applyBorder="1" applyAlignment="1">
      <alignment horizontal="left" wrapText="1"/>
    </xf>
    <xf numFmtId="0" fontId="10" fillId="13" borderId="1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167" fontId="9" fillId="5" borderId="30" xfId="1" applyNumberFormat="1" applyFont="1" applyFill="1" applyBorder="1" applyAlignment="1">
      <alignment horizontal="center"/>
    </xf>
    <xf numFmtId="167" fontId="9" fillId="5" borderId="31" xfId="1" applyNumberFormat="1" applyFont="1" applyFill="1" applyBorder="1" applyAlignment="1">
      <alignment horizontal="center"/>
    </xf>
    <xf numFmtId="167" fontId="9" fillId="5" borderId="32" xfId="1" applyNumberFormat="1" applyFont="1" applyFill="1" applyBorder="1" applyAlignment="1">
      <alignment horizontal="center"/>
    </xf>
    <xf numFmtId="0" fontId="9" fillId="5" borderId="30" xfId="0" applyFont="1" applyFill="1" applyBorder="1" applyAlignment="1">
      <alignment horizontal="center"/>
    </xf>
    <xf numFmtId="0" fontId="9" fillId="5" borderId="3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2" fillId="13" borderId="30" xfId="0" applyFont="1" applyFill="1" applyBorder="1" applyAlignment="1">
      <alignment horizontal="left" vertical="center" wrapText="1"/>
    </xf>
    <xf numFmtId="0" fontId="12" fillId="13" borderId="32" xfId="0" applyFont="1" applyFill="1" applyBorder="1" applyAlignment="1">
      <alignment horizontal="left" vertical="center" wrapText="1"/>
    </xf>
    <xf numFmtId="167" fontId="9" fillId="5" borderId="1" xfId="1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30" xfId="0" applyFont="1" applyBorder="1" applyAlignment="1">
      <alignment horizontal="left"/>
    </xf>
    <xf numFmtId="0" fontId="10" fillId="0" borderId="31" xfId="0" applyFont="1" applyBorder="1" applyAlignment="1">
      <alignment horizontal="left"/>
    </xf>
    <xf numFmtId="0" fontId="10" fillId="0" borderId="32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0" fontId="12" fillId="13" borderId="30" xfId="0" applyFont="1" applyFill="1" applyBorder="1" applyAlignment="1">
      <alignment horizontal="left"/>
    </xf>
    <xf numFmtId="0" fontId="12" fillId="13" borderId="32" xfId="0" applyFont="1" applyFill="1" applyBorder="1" applyAlignment="1">
      <alignment horizontal="left"/>
    </xf>
    <xf numFmtId="0" fontId="10" fillId="13" borderId="30" xfId="0" applyFont="1" applyFill="1" applyBorder="1" applyAlignment="1">
      <alignment horizontal="left"/>
    </xf>
    <xf numFmtId="0" fontId="10" fillId="13" borderId="32" xfId="0" applyFont="1" applyFill="1" applyBorder="1" applyAlignment="1">
      <alignment horizontal="left"/>
    </xf>
    <xf numFmtId="0" fontId="12" fillId="13" borderId="31" xfId="0" applyFont="1" applyFill="1" applyBorder="1" applyAlignment="1">
      <alignment horizontal="left"/>
    </xf>
    <xf numFmtId="0" fontId="17" fillId="0" borderId="30" xfId="0" applyFont="1" applyBorder="1" applyAlignment="1">
      <alignment horizontal="left"/>
    </xf>
    <xf numFmtId="0" fontId="17" fillId="0" borderId="31" xfId="0" applyFont="1" applyBorder="1" applyAlignment="1">
      <alignment horizontal="left"/>
    </xf>
    <xf numFmtId="0" fontId="17" fillId="0" borderId="32" xfId="0" applyFont="1" applyBorder="1" applyAlignment="1">
      <alignment horizontal="left"/>
    </xf>
    <xf numFmtId="0" fontId="12" fillId="13" borderId="37" xfId="0" applyFont="1" applyFill="1" applyBorder="1" applyAlignment="1">
      <alignment horizontal="center" vertical="center" wrapText="1"/>
    </xf>
    <xf numFmtId="0" fontId="12" fillId="13" borderId="34" xfId="0" applyFont="1" applyFill="1" applyBorder="1" applyAlignment="1">
      <alignment horizontal="center" vertical="center" wrapText="1"/>
    </xf>
    <xf numFmtId="0" fontId="12" fillId="13" borderId="38" xfId="0" applyFont="1" applyFill="1" applyBorder="1" applyAlignment="1">
      <alignment horizontal="center" vertical="center" wrapText="1"/>
    </xf>
    <xf numFmtId="0" fontId="12" fillId="13" borderId="39" xfId="0" applyFont="1" applyFill="1" applyBorder="1" applyAlignment="1">
      <alignment horizontal="center" vertical="center" wrapText="1"/>
    </xf>
    <xf numFmtId="0" fontId="12" fillId="13" borderId="0" xfId="0" applyFont="1" applyFill="1" applyBorder="1" applyAlignment="1">
      <alignment horizontal="center" vertical="center" wrapText="1"/>
    </xf>
    <xf numFmtId="0" fontId="12" fillId="13" borderId="40" xfId="0" applyFont="1" applyFill="1" applyBorder="1" applyAlignment="1">
      <alignment horizontal="center" vertical="center" wrapText="1"/>
    </xf>
    <xf numFmtId="0" fontId="12" fillId="13" borderId="41" xfId="0" applyFont="1" applyFill="1" applyBorder="1" applyAlignment="1">
      <alignment horizontal="center" vertical="center" wrapText="1"/>
    </xf>
    <xf numFmtId="0" fontId="12" fillId="13" borderId="35" xfId="0" applyFont="1" applyFill="1" applyBorder="1" applyAlignment="1">
      <alignment horizontal="center" vertical="center" wrapText="1"/>
    </xf>
    <xf numFmtId="0" fontId="12" fillId="13" borderId="42" xfId="0" applyFont="1" applyFill="1" applyBorder="1" applyAlignment="1">
      <alignment horizontal="center" vertical="center" wrapText="1"/>
    </xf>
    <xf numFmtId="167" fontId="9" fillId="0" borderId="1" xfId="1" applyNumberFormat="1" applyFont="1" applyFill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167" fontId="9" fillId="0" borderId="30" xfId="1" applyNumberFormat="1" applyFont="1" applyFill="1" applyBorder="1" applyAlignment="1">
      <alignment horizontal="left" wrapText="1"/>
    </xf>
    <xf numFmtId="167" fontId="9" fillId="0" borderId="31" xfId="1" applyNumberFormat="1" applyFont="1" applyFill="1" applyBorder="1" applyAlignment="1">
      <alignment horizontal="left" wrapText="1"/>
    </xf>
    <xf numFmtId="167" fontId="9" fillId="0" borderId="32" xfId="1" applyNumberFormat="1" applyFont="1" applyFill="1" applyBorder="1" applyAlignment="1">
      <alignment horizontal="left" wrapText="1"/>
    </xf>
    <xf numFmtId="167" fontId="9" fillId="0" borderId="30" xfId="1" applyNumberFormat="1" applyFont="1" applyFill="1" applyBorder="1" applyAlignment="1">
      <alignment horizontal="left"/>
    </xf>
    <xf numFmtId="167" fontId="9" fillId="0" borderId="31" xfId="1" applyNumberFormat="1" applyFont="1" applyFill="1" applyBorder="1" applyAlignment="1">
      <alignment horizontal="left"/>
    </xf>
    <xf numFmtId="167" fontId="9" fillId="0" borderId="32" xfId="1" applyNumberFormat="1" applyFont="1" applyFill="1" applyBorder="1" applyAlignment="1">
      <alignment horizontal="left"/>
    </xf>
    <xf numFmtId="0" fontId="10" fillId="13" borderId="30" xfId="0" applyFont="1" applyFill="1" applyBorder="1" applyAlignment="1">
      <alignment horizontal="center" vertical="center" wrapText="1"/>
    </xf>
    <xf numFmtId="0" fontId="10" fillId="13" borderId="31" xfId="0" applyFont="1" applyFill="1" applyBorder="1" applyAlignment="1">
      <alignment horizontal="center" vertical="center" wrapText="1"/>
    </xf>
    <xf numFmtId="0" fontId="10" fillId="13" borderId="32" xfId="0" applyFont="1" applyFill="1" applyBorder="1" applyAlignment="1">
      <alignment horizontal="center" vertical="center" wrapText="1"/>
    </xf>
    <xf numFmtId="0" fontId="4" fillId="16" borderId="70" xfId="0" applyFont="1" applyFill="1" applyBorder="1" applyAlignment="1">
      <alignment horizontal="center"/>
    </xf>
    <xf numFmtId="0" fontId="4" fillId="16" borderId="71" xfId="0" applyFont="1" applyFill="1" applyBorder="1" applyAlignment="1">
      <alignment horizontal="center"/>
    </xf>
    <xf numFmtId="0" fontId="4" fillId="16" borderId="72" xfId="0" applyFont="1" applyFill="1" applyBorder="1" applyAlignment="1">
      <alignment horizontal="center"/>
    </xf>
    <xf numFmtId="164" fontId="6" fillId="13" borderId="9" xfId="1" applyNumberFormat="1" applyFont="1" applyFill="1" applyBorder="1" applyAlignment="1" applyProtection="1">
      <alignment horizontal="left" vertical="center" wrapText="1"/>
      <protection hidden="1"/>
    </xf>
    <xf numFmtId="164" fontId="6" fillId="13" borderId="10" xfId="1" applyNumberFormat="1" applyFont="1" applyFill="1" applyBorder="1" applyAlignment="1" applyProtection="1">
      <alignment horizontal="left" vertical="center" wrapText="1"/>
      <protection hidden="1"/>
    </xf>
    <xf numFmtId="0" fontId="5" fillId="11" borderId="2" xfId="0" applyFont="1" applyFill="1" applyBorder="1" applyAlignment="1" applyProtection="1">
      <alignment horizontal="center" vertical="center" wrapText="1"/>
      <protection hidden="1"/>
    </xf>
    <xf numFmtId="0" fontId="5" fillId="11" borderId="3" xfId="0" applyFont="1" applyFill="1" applyBorder="1" applyAlignment="1" applyProtection="1">
      <alignment horizontal="center" vertical="center" wrapText="1"/>
      <protection hidden="1"/>
    </xf>
    <xf numFmtId="0" fontId="5" fillId="11" borderId="4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2" fillId="3" borderId="7" xfId="0" applyFont="1" applyFill="1" applyBorder="1" applyAlignment="1" applyProtection="1">
      <alignment horizontal="center" vertical="center" wrapText="1"/>
      <protection hidden="1"/>
    </xf>
    <xf numFmtId="164" fontId="3" fillId="14" borderId="6" xfId="2" applyNumberFormat="1" applyFont="1" applyFill="1" applyBorder="1" applyAlignment="1" applyProtection="1">
      <alignment horizontal="right" vertical="center" wrapText="1"/>
      <protection hidden="1"/>
    </xf>
    <xf numFmtId="164" fontId="3" fillId="14" borderId="7" xfId="2" applyNumberFormat="1" applyFont="1" applyFill="1" applyBorder="1" applyAlignment="1" applyProtection="1">
      <alignment horizontal="right" vertical="center" wrapText="1"/>
      <protection hidden="1"/>
    </xf>
    <xf numFmtId="164" fontId="3" fillId="7" borderId="6" xfId="1" applyNumberFormat="1" applyFont="1" applyFill="1" applyBorder="1" applyAlignment="1" applyProtection="1">
      <alignment horizontal="right" vertical="center" wrapText="1"/>
      <protection hidden="1"/>
    </xf>
    <xf numFmtId="0" fontId="0" fillId="0" borderId="11" xfId="0" applyBorder="1" applyAlignment="1">
      <alignment horizontal="center" vertical="center" wrapText="1"/>
    </xf>
    <xf numFmtId="0" fontId="5" fillId="11" borderId="12" xfId="0" applyFont="1" applyFill="1" applyBorder="1" applyAlignment="1" applyProtection="1">
      <alignment horizontal="center" vertical="center" wrapText="1"/>
      <protection hidden="1"/>
    </xf>
    <xf numFmtId="0" fontId="5" fillId="11" borderId="13" xfId="0" applyFont="1" applyFill="1" applyBorder="1" applyAlignment="1" applyProtection="1">
      <alignment horizontal="center" vertical="center" wrapText="1"/>
      <protection hidden="1"/>
    </xf>
    <xf numFmtId="0" fontId="5" fillId="11" borderId="14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hidden="1"/>
    </xf>
    <xf numFmtId="164" fontId="3" fillId="7" borderId="7" xfId="1" applyNumberFormat="1" applyFont="1" applyFill="1" applyBorder="1" applyAlignment="1" applyProtection="1">
      <alignment horizontal="right" vertical="center" wrapText="1"/>
      <protection hidden="1"/>
    </xf>
    <xf numFmtId="164" fontId="3" fillId="13" borderId="9" xfId="1" applyNumberFormat="1" applyFont="1" applyFill="1" applyBorder="1" applyAlignment="1" applyProtection="1">
      <alignment horizontal="center" vertical="center" wrapText="1"/>
      <protection hidden="1"/>
    </xf>
    <xf numFmtId="164" fontId="3" fillId="13" borderId="10" xfId="1" applyNumberFormat="1" applyFont="1" applyFill="1" applyBorder="1" applyAlignment="1" applyProtection="1">
      <alignment horizontal="center" vertical="center" wrapText="1"/>
      <protection hidden="1"/>
    </xf>
  </cellXfs>
  <cellStyles count="4">
    <cellStyle name="Comma 2" xfId="2" xr:uid="{00000000-0005-0000-0000-000000000000}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Monthly Forecasted Sales ($) by Product</a:t>
            </a:r>
          </a:p>
          <a:p>
            <a:pPr>
              <a:defRPr/>
            </a:pPr>
            <a:r>
              <a:rPr lang="en-AU" b="1"/>
              <a:t> FY 20XX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'1'!$B$3</c:f>
              <c:strCache>
                <c:ptCount val="1"/>
                <c:pt idx="0">
                  <c:v>Photocopier - Kyco 809 ci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'1'!$D$2:$O$2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'1'!$C$6:$O$6</c:f>
              <c:numCache>
                <c:formatCode>_-"$"* #,##0_-;\-"$"* #,##0_-;_-"$"* "-"??_-;_-@_-</c:formatCode>
                <c:ptCount val="13"/>
                <c:pt idx="1">
                  <c:v>46000</c:v>
                </c:pt>
                <c:pt idx="2">
                  <c:v>46000</c:v>
                </c:pt>
                <c:pt idx="3">
                  <c:v>46000</c:v>
                </c:pt>
                <c:pt idx="4">
                  <c:v>46000</c:v>
                </c:pt>
                <c:pt idx="5">
                  <c:v>46000</c:v>
                </c:pt>
                <c:pt idx="6">
                  <c:v>69000</c:v>
                </c:pt>
                <c:pt idx="7">
                  <c:v>69000</c:v>
                </c:pt>
                <c:pt idx="8">
                  <c:v>69000</c:v>
                </c:pt>
                <c:pt idx="9">
                  <c:v>46000</c:v>
                </c:pt>
                <c:pt idx="10">
                  <c:v>46000</c:v>
                </c:pt>
                <c:pt idx="11">
                  <c:v>69000</c:v>
                </c:pt>
                <c:pt idx="12">
                  <c:v>69000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56-44BF-948C-06EFCA3CDB47}"/>
            </c:ext>
          </c:extLst>
        </c:ser>
        <c:ser>
          <c:idx val="1"/>
          <c:order val="1"/>
          <c:tx>
            <c:strRef>
              <c:f>'1'!$B$8</c:f>
              <c:strCache>
                <c:ptCount val="1"/>
                <c:pt idx="0">
                  <c:v>Photocopier - Monochrome MZ300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'1'!$D$2:$O$2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'1'!$C$11:$O$11</c:f>
              <c:numCache>
                <c:formatCode>_-"$"* #,##0_-;\-"$"* #,##0_-;_-"$"* "-"??_-;_-@_-</c:formatCode>
                <c:ptCount val="13"/>
                <c:pt idx="1">
                  <c:v>75960</c:v>
                </c:pt>
                <c:pt idx="2">
                  <c:v>75960</c:v>
                </c:pt>
                <c:pt idx="3">
                  <c:v>75960</c:v>
                </c:pt>
                <c:pt idx="4">
                  <c:v>75960</c:v>
                </c:pt>
                <c:pt idx="5">
                  <c:v>75960</c:v>
                </c:pt>
                <c:pt idx="6">
                  <c:v>94950</c:v>
                </c:pt>
                <c:pt idx="7">
                  <c:v>94950</c:v>
                </c:pt>
                <c:pt idx="8">
                  <c:v>94950</c:v>
                </c:pt>
                <c:pt idx="9">
                  <c:v>75960</c:v>
                </c:pt>
                <c:pt idx="10">
                  <c:v>75960</c:v>
                </c:pt>
                <c:pt idx="11">
                  <c:v>94950</c:v>
                </c:pt>
                <c:pt idx="12">
                  <c:v>94950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6-44BF-948C-06EFCA3CDB47}"/>
            </c:ext>
          </c:extLst>
        </c:ser>
        <c:ser>
          <c:idx val="2"/>
          <c:order val="2"/>
          <c:tx>
            <c:strRef>
              <c:f>'1'!$B$13</c:f>
              <c:strCache>
                <c:ptCount val="1"/>
                <c:pt idx="0">
                  <c:v>Multi-function - MFp 200z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'1'!$D$2:$O$2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'1'!$C$16:$O$16</c:f>
              <c:numCache>
                <c:formatCode>_-"$"* #,##0_-;\-"$"* #,##0_-;_-"$"* "-"??_-;_-@_-</c:formatCode>
                <c:ptCount val="13"/>
                <c:pt idx="1">
                  <c:v>89970</c:v>
                </c:pt>
                <c:pt idx="2">
                  <c:v>89970</c:v>
                </c:pt>
                <c:pt idx="3">
                  <c:v>89970</c:v>
                </c:pt>
                <c:pt idx="4">
                  <c:v>89970</c:v>
                </c:pt>
                <c:pt idx="5">
                  <c:v>89970</c:v>
                </c:pt>
                <c:pt idx="6">
                  <c:v>119960</c:v>
                </c:pt>
                <c:pt idx="7">
                  <c:v>119960</c:v>
                </c:pt>
                <c:pt idx="8">
                  <c:v>119960</c:v>
                </c:pt>
                <c:pt idx="9">
                  <c:v>89970</c:v>
                </c:pt>
                <c:pt idx="10">
                  <c:v>89970</c:v>
                </c:pt>
                <c:pt idx="11">
                  <c:v>119960</c:v>
                </c:pt>
                <c:pt idx="12">
                  <c:v>119960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56-44BF-948C-06EFCA3CDB47}"/>
            </c:ext>
          </c:extLst>
        </c:ser>
        <c:ser>
          <c:idx val="3"/>
          <c:order val="3"/>
          <c:tx>
            <c:strRef>
              <c:f>'1'!$B$18</c:f>
              <c:strCache>
                <c:ptCount val="1"/>
                <c:pt idx="0">
                  <c:v>3D printer - RV800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'1'!$D$2:$O$2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'1'!$C$21:$O$21</c:f>
              <c:numCache>
                <c:formatCode>_-"$"* #,##0_-;\-"$"* #,##0_-;_-"$"* "-"??_-;_-@_-</c:formatCode>
                <c:ptCount val="13"/>
                <c:pt idx="1">
                  <c:v>5790</c:v>
                </c:pt>
                <c:pt idx="2">
                  <c:v>5790</c:v>
                </c:pt>
                <c:pt idx="3">
                  <c:v>5790</c:v>
                </c:pt>
                <c:pt idx="4">
                  <c:v>5790</c:v>
                </c:pt>
                <c:pt idx="5">
                  <c:v>5790</c:v>
                </c:pt>
                <c:pt idx="6">
                  <c:v>14475</c:v>
                </c:pt>
                <c:pt idx="7">
                  <c:v>14475</c:v>
                </c:pt>
                <c:pt idx="8">
                  <c:v>14475</c:v>
                </c:pt>
                <c:pt idx="9">
                  <c:v>5790</c:v>
                </c:pt>
                <c:pt idx="10">
                  <c:v>5790</c:v>
                </c:pt>
                <c:pt idx="11">
                  <c:v>14475</c:v>
                </c:pt>
                <c:pt idx="12">
                  <c:v>14475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56-44BF-948C-06EFCA3CDB47}"/>
            </c:ext>
          </c:extLst>
        </c:ser>
        <c:ser>
          <c:idx val="4"/>
          <c:order val="4"/>
          <c:tx>
            <c:strRef>
              <c:f>'1'!$B$23</c:f>
              <c:strCache>
                <c:ptCount val="1"/>
                <c:pt idx="0">
                  <c:v>Label/barcode printer 6-inch industrial - A200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'1'!$D$2:$O$2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'1'!$C$26:$O$26</c:f>
              <c:numCache>
                <c:formatCode>_-"$"* #,##0_-;\-"$"* #,##0_-;_-"$"* "-"??_-;_-@_-</c:formatCode>
                <c:ptCount val="13"/>
                <c:pt idx="1">
                  <c:v>31800</c:v>
                </c:pt>
                <c:pt idx="2">
                  <c:v>31800</c:v>
                </c:pt>
                <c:pt idx="3">
                  <c:v>31800</c:v>
                </c:pt>
                <c:pt idx="4">
                  <c:v>31800</c:v>
                </c:pt>
                <c:pt idx="5">
                  <c:v>31800</c:v>
                </c:pt>
                <c:pt idx="6">
                  <c:v>38160</c:v>
                </c:pt>
                <c:pt idx="7">
                  <c:v>38160</c:v>
                </c:pt>
                <c:pt idx="8">
                  <c:v>38160</c:v>
                </c:pt>
                <c:pt idx="9">
                  <c:v>31800</c:v>
                </c:pt>
                <c:pt idx="10">
                  <c:v>31800</c:v>
                </c:pt>
                <c:pt idx="11">
                  <c:v>38160</c:v>
                </c:pt>
                <c:pt idx="12">
                  <c:v>38160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56-44BF-948C-06EFCA3CD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237951"/>
        <c:axId val="231598255"/>
      </c:lineChart>
      <c:catAx>
        <c:axId val="164237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598255"/>
        <c:crosses val="autoZero"/>
        <c:auto val="1"/>
        <c:lblAlgn val="ctr"/>
        <c:lblOffset val="100"/>
        <c:noMultiLvlLbl val="0"/>
      </c:catAx>
      <c:valAx>
        <c:axId val="231598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Sales ($)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237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Break</a:t>
            </a:r>
            <a:r>
              <a:rPr lang="en-AU" b="1" baseline="0"/>
              <a:t> down of Budgeted Fixed Manufacturing Costs</a:t>
            </a:r>
          </a:p>
          <a:p>
            <a:pPr>
              <a:defRPr/>
            </a:pPr>
            <a:r>
              <a:rPr lang="en-AU" b="1" baseline="0"/>
              <a:t>FY 20XX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BBA-40B4-903E-2E710F5FE1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BA-40B4-903E-2E710F5FE1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7C-4FA3-AC93-6F6F16FB54C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BA-40B4-903E-2E710F5FE1A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BBA-40B4-903E-2E710F5FE1AF}"/>
              </c:ext>
            </c:extLst>
          </c:dPt>
          <c:dLbls>
            <c:dLbl>
              <c:idx val="0"/>
              <c:layout>
                <c:manualLayout>
                  <c:x val="1.2520686106131846E-2"/>
                  <c:y val="-1.9292982808703438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BA-40B4-903E-2E710F5FE1AF}"/>
                </c:ext>
              </c:extLst>
            </c:dLbl>
            <c:dLbl>
              <c:idx val="1"/>
              <c:layout>
                <c:manualLayout>
                  <c:x val="0.19649329441686297"/>
                  <c:y val="-5.9143419137572999E-4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BA-40B4-903E-2E710F5FE1AF}"/>
                </c:ext>
              </c:extLst>
            </c:dLbl>
            <c:dLbl>
              <c:idx val="3"/>
              <c:layout>
                <c:manualLayout>
                  <c:x val="-0.1177116488678415"/>
                  <c:y val="2.771960750609843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BA-40B4-903E-2E710F5FE1AF}"/>
                </c:ext>
              </c:extLst>
            </c:dLbl>
            <c:dLbl>
              <c:idx val="4"/>
              <c:layout>
                <c:manualLayout>
                  <c:x val="-6.8115435525876511E-2"/>
                  <c:y val="-1.1957434721495856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BA-40B4-903E-2E710F5FE1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'4'!$B$12:$B$16</c:f>
              <c:strCache>
                <c:ptCount val="5"/>
                <c:pt idx="0">
                  <c:v>Electricty, water and gas</c:v>
                </c:pt>
                <c:pt idx="1">
                  <c:v>Manufacturing Insurance</c:v>
                </c:pt>
                <c:pt idx="2">
                  <c:v>Manufactuirng Team's Salary</c:v>
                </c:pt>
                <c:pt idx="3">
                  <c:v>Factory Maintenance</c:v>
                </c:pt>
                <c:pt idx="4">
                  <c:v>Property, Plant and Equipment Depreciation</c:v>
                </c:pt>
              </c:strCache>
            </c:strRef>
          </c:cat>
          <c:val>
            <c:numRef>
              <c:f>'4'!$Q$12:$Q$16</c:f>
              <c:numCache>
                <c:formatCode>_-"$"* #,##0_-;\-"$"* #,##0_-;_-"$"* "-"??_-;_-@_-</c:formatCode>
                <c:ptCount val="5"/>
                <c:pt idx="0">
                  <c:v>4800</c:v>
                </c:pt>
                <c:pt idx="1">
                  <c:v>14500.000000000002</c:v>
                </c:pt>
                <c:pt idx="2">
                  <c:v>399999.99999999994</c:v>
                </c:pt>
                <c:pt idx="3">
                  <c:v>15000</c:v>
                </c:pt>
                <c:pt idx="4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A-40B4-903E-2E710F5FE1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830580</xdr:colOff>
      <xdr:row>1</xdr:row>
      <xdr:rowOff>91441</xdr:rowOff>
    </xdr:from>
    <xdr:to>
      <xdr:col>2</xdr:col>
      <xdr:colOff>4631385</xdr:colOff>
      <xdr:row>7</xdr:row>
      <xdr:rowOff>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F041B0-0987-4FC5-5B20-B26E3B81E8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486" b="13435"/>
        <a:stretch/>
      </xdr:blipFill>
      <xdr:spPr>
        <a:xfrm>
          <a:off x="1775460" y="274321"/>
          <a:ext cx="3810330" cy="1554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398145</xdr:colOff>
      <xdr:row>1</xdr:row>
      <xdr:rowOff>148590</xdr:rowOff>
    </xdr:from>
    <xdr:to>
      <xdr:col>11</xdr:col>
      <xdr:colOff>38100</xdr:colOff>
      <xdr:row>24</xdr:row>
      <xdr:rowOff>68580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F4383F0-9E8E-409E-89B7-E3DAD0710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62865</xdr:colOff>
      <xdr:row>1</xdr:row>
      <xdr:rowOff>140970</xdr:rowOff>
    </xdr:from>
    <xdr:to>
      <xdr:col>22</xdr:col>
      <xdr:colOff>358140</xdr:colOff>
      <xdr:row>24</xdr:row>
      <xdr:rowOff>87630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511BDDD-2212-6D66-7E24-DE31BB9A14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93570</xdr:colOff>
      <xdr:row>0</xdr:row>
      <xdr:rowOff>20171</xdr:rowOff>
    </xdr:from>
    <xdr:to>
      <xdr:col>0</xdr:col>
      <xdr:colOff>1251688</xdr:colOff>
      <xdr:row>9</xdr:row>
      <xdr:rowOff>65555</xdr:rowOff>
    </xdr:to>
    <xdr:pic>
      <xdr:nvPicPr>
        <xdr:cNvPr id="2" name="Picture 1" descr="C:\Users\regine.m\AppData\Local\Temp\SNAGHTMLfcfce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70" y="20171"/>
          <a:ext cx="1158118" cy="18741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9AF87-F7FA-42B7-977F-39D51E35A15D}">
  <sheetPr>
    <pageSetUpPr fitToPage="1"/>
  </sheetPr>
  <dimension ref="A1:D22"/>
  <sheetViews>
    <sheetView tabSelected="1" workbookViewId="0"/>
  </sheetViews>
  <sheetFormatPr defaultColWidth="9.109375" defaultRowHeight="14.4" x14ac:dyDescent="0.3"/>
  <cols>
    <col min="1" max="1" width="9.109375" style="35"/>
    <col min="2" max="2" width="4.6640625" style="35" customWidth="1"/>
    <col min="3" max="3" width="75.5546875" style="35" customWidth="1"/>
    <col min="4" max="4" width="3.5546875" style="35" customWidth="1"/>
    <col min="5" max="5" width="3.33203125" style="35" customWidth="1"/>
    <col min="6" max="16384" width="9.109375" style="35"/>
  </cols>
  <sheetData>
    <row r="1" spans="1:4" x14ac:dyDescent="0.3">
      <c r="B1" s="63"/>
      <c r="C1" s="63"/>
    </row>
    <row r="2" spans="1:4" ht="56.4" customHeight="1" x14ac:dyDescent="0.3">
      <c r="A2" s="68"/>
      <c r="B2" s="70"/>
      <c r="C2" s="71"/>
      <c r="D2" s="69"/>
    </row>
    <row r="3" spans="1:4" x14ac:dyDescent="0.3">
      <c r="A3" s="68"/>
      <c r="B3" s="72"/>
      <c r="C3" s="73"/>
      <c r="D3" s="69"/>
    </row>
    <row r="4" spans="1:4" ht="15" customHeight="1" x14ac:dyDescent="0.3">
      <c r="A4" s="68"/>
      <c r="B4" s="72"/>
      <c r="C4" s="73"/>
      <c r="D4" s="69"/>
    </row>
    <row r="5" spans="1:4" ht="15" customHeight="1" x14ac:dyDescent="0.3">
      <c r="A5" s="68"/>
      <c r="B5" s="72"/>
      <c r="C5" s="73"/>
      <c r="D5" s="69"/>
    </row>
    <row r="6" spans="1:4" x14ac:dyDescent="0.3">
      <c r="A6" s="68"/>
      <c r="B6" s="72"/>
      <c r="C6" s="73"/>
      <c r="D6" s="69"/>
    </row>
    <row r="7" spans="1:4" x14ac:dyDescent="0.3">
      <c r="A7" s="68"/>
      <c r="B7" s="72"/>
      <c r="C7" s="73"/>
      <c r="D7" s="69"/>
    </row>
    <row r="8" spans="1:4" ht="46.8" customHeight="1" x14ac:dyDescent="0.3">
      <c r="A8" s="68"/>
      <c r="B8" s="284" t="s">
        <v>164</v>
      </c>
      <c r="C8" s="285"/>
      <c r="D8" s="69"/>
    </row>
    <row r="9" spans="1:4" x14ac:dyDescent="0.3">
      <c r="A9" s="68"/>
      <c r="B9" s="157" t="s">
        <v>48</v>
      </c>
      <c r="C9" s="73"/>
      <c r="D9" s="69"/>
    </row>
    <row r="10" spans="1:4" x14ac:dyDescent="0.3">
      <c r="A10" s="68"/>
      <c r="B10" s="72"/>
      <c r="C10" s="73" t="s">
        <v>49</v>
      </c>
      <c r="D10" s="69"/>
    </row>
    <row r="11" spans="1:4" x14ac:dyDescent="0.3">
      <c r="A11" s="68"/>
      <c r="B11" s="72">
        <v>1</v>
      </c>
      <c r="C11" s="73" t="s">
        <v>130</v>
      </c>
      <c r="D11" s="69"/>
    </row>
    <row r="12" spans="1:4" x14ac:dyDescent="0.3">
      <c r="A12" s="68"/>
      <c r="B12" s="72">
        <v>2</v>
      </c>
      <c r="C12" s="73" t="s">
        <v>138</v>
      </c>
      <c r="D12" s="69"/>
    </row>
    <row r="13" spans="1:4" x14ac:dyDescent="0.3">
      <c r="A13" s="68"/>
      <c r="B13" s="72">
        <v>3</v>
      </c>
      <c r="C13" s="73" t="s">
        <v>137</v>
      </c>
      <c r="D13" s="69"/>
    </row>
    <row r="14" spans="1:4" x14ac:dyDescent="0.3">
      <c r="A14" s="68"/>
      <c r="B14" s="72">
        <v>4</v>
      </c>
      <c r="C14" s="73" t="s">
        <v>152</v>
      </c>
      <c r="D14" s="69"/>
    </row>
    <row r="15" spans="1:4" x14ac:dyDescent="0.3">
      <c r="A15" s="68"/>
      <c r="B15" s="72">
        <v>5</v>
      </c>
      <c r="C15" s="73" t="s">
        <v>156</v>
      </c>
      <c r="D15" s="69"/>
    </row>
    <row r="16" spans="1:4" x14ac:dyDescent="0.3">
      <c r="A16" s="68"/>
      <c r="B16" s="72">
        <v>6</v>
      </c>
      <c r="C16" s="73" t="s">
        <v>157</v>
      </c>
      <c r="D16" s="69"/>
    </row>
    <row r="17" spans="1:4" x14ac:dyDescent="0.3">
      <c r="A17" s="68"/>
      <c r="B17" s="193">
        <v>7</v>
      </c>
      <c r="C17" s="194" t="s">
        <v>165</v>
      </c>
      <c r="D17" s="69"/>
    </row>
    <row r="18" spans="1:4" x14ac:dyDescent="0.3">
      <c r="A18" s="68"/>
      <c r="B18" s="74"/>
      <c r="C18" s="75"/>
      <c r="D18" s="69"/>
    </row>
    <row r="19" spans="1:4" x14ac:dyDescent="0.3">
      <c r="A19" s="68"/>
      <c r="B19" s="66"/>
      <c r="C19" s="66"/>
      <c r="D19" s="69"/>
    </row>
    <row r="20" spans="1:4" x14ac:dyDescent="0.3">
      <c r="A20" s="68"/>
      <c r="D20" s="69"/>
    </row>
    <row r="21" spans="1:4" x14ac:dyDescent="0.3">
      <c r="A21" s="68"/>
      <c r="D21" s="69"/>
    </row>
    <row r="22" spans="1:4" x14ac:dyDescent="0.3">
      <c r="B22" s="66"/>
      <c r="C22" s="66"/>
    </row>
  </sheetData>
  <mergeCells count="1">
    <mergeCell ref="B8:C8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6E935-3069-49DE-825E-218768084C26}">
  <dimension ref="A1"/>
  <sheetViews>
    <sheetView workbookViewId="0">
      <selection activeCell="K33" sqref="K33"/>
    </sheetView>
  </sheetViews>
  <sheetFormatPr defaultRowHeight="14.4" x14ac:dyDescent="0.3"/>
  <cols>
    <col min="1" max="16384" width="8.88671875" style="35"/>
  </cols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8"/>
  <sheetViews>
    <sheetView topLeftCell="A16" zoomScale="85" zoomScaleNormal="85" workbookViewId="0">
      <selection activeCell="C40" sqref="C40"/>
    </sheetView>
  </sheetViews>
  <sheetFormatPr defaultColWidth="0" defaultRowHeight="14.4" x14ac:dyDescent="0.3"/>
  <cols>
    <col min="1" max="1" width="22.21875" style="2" customWidth="1"/>
    <col min="2" max="2" width="32.21875" style="2" customWidth="1"/>
    <col min="3" max="14" width="12" style="2" customWidth="1"/>
    <col min="15" max="17" width="12" customWidth="1"/>
    <col min="18" max="16384" width="9.21875" style="2" hidden="1"/>
  </cols>
  <sheetData>
    <row r="1" spans="1:17" ht="18" x14ac:dyDescent="0.3">
      <c r="A1" s="1"/>
      <c r="B1" s="359" t="s">
        <v>20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7" ht="15" thickBot="1" x14ac:dyDescent="0.35">
      <c r="A2" s="1"/>
      <c r="B2" s="360"/>
      <c r="C2" s="360"/>
      <c r="D2" s="360"/>
      <c r="E2" s="360"/>
      <c r="F2" s="3"/>
      <c r="G2" s="3"/>
      <c r="H2" s="3"/>
      <c r="I2" s="3"/>
      <c r="J2" s="3"/>
      <c r="K2" s="3"/>
      <c r="L2" s="3"/>
      <c r="M2" s="3"/>
      <c r="N2" s="3"/>
    </row>
    <row r="3" spans="1:17" ht="19.5" customHeight="1" x14ac:dyDescent="0.3">
      <c r="A3" s="1"/>
      <c r="B3" s="345" t="s">
        <v>21</v>
      </c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7"/>
    </row>
    <row r="4" spans="1:17" x14ac:dyDescent="0.3">
      <c r="A4" s="1"/>
      <c r="B4" s="348" t="s">
        <v>22</v>
      </c>
      <c r="C4" s="349" t="s">
        <v>0</v>
      </c>
      <c r="D4" s="349"/>
      <c r="E4" s="349"/>
      <c r="F4" s="349" t="s">
        <v>1</v>
      </c>
      <c r="G4" s="349"/>
      <c r="H4" s="349"/>
      <c r="I4" s="349" t="s">
        <v>2</v>
      </c>
      <c r="J4" s="349"/>
      <c r="K4" s="349"/>
      <c r="L4" s="349" t="s">
        <v>3</v>
      </c>
      <c r="M4" s="349"/>
      <c r="N4" s="350"/>
    </row>
    <row r="5" spans="1:17" x14ac:dyDescent="0.3">
      <c r="A5" s="1"/>
      <c r="B5" s="348"/>
      <c r="C5" s="4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4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  <c r="N5" s="6" t="s">
        <v>16</v>
      </c>
    </row>
    <row r="6" spans="1:17" x14ac:dyDescent="0.3">
      <c r="A6" s="1"/>
      <c r="B6" s="7" t="s">
        <v>23</v>
      </c>
      <c r="C6" s="8">
        <v>734</v>
      </c>
      <c r="D6" s="8">
        <f>C6*1.05</f>
        <v>770.7</v>
      </c>
      <c r="E6" s="8">
        <f>D6*1.05</f>
        <v>809.23500000000013</v>
      </c>
      <c r="F6" s="8">
        <v>639</v>
      </c>
      <c r="G6" s="8">
        <f>F6*1.02</f>
        <v>651.78</v>
      </c>
      <c r="H6" s="8">
        <f>E6*1.15</f>
        <v>930.62025000000006</v>
      </c>
      <c r="I6" s="8">
        <f>G6*1.02</f>
        <v>664.81560000000002</v>
      </c>
      <c r="J6" s="8">
        <f>I6*1.02</f>
        <v>678.11191200000007</v>
      </c>
      <c r="K6" s="8">
        <f>J6*1.02</f>
        <v>691.67415024000013</v>
      </c>
      <c r="L6" s="8">
        <f>K6*1.02</f>
        <v>705.5076332448001</v>
      </c>
      <c r="M6" s="8">
        <f>L6*1.02</f>
        <v>719.61778590969607</v>
      </c>
      <c r="N6" s="9">
        <f>M6*1.02</f>
        <v>734.01014162788999</v>
      </c>
    </row>
    <row r="7" spans="1:17" x14ac:dyDescent="0.3">
      <c r="A7" s="1"/>
      <c r="B7" s="7" t="s">
        <v>24</v>
      </c>
      <c r="C7" s="10">
        <f>20*1.5</f>
        <v>30</v>
      </c>
      <c r="D7" s="10">
        <f t="shared" ref="D7:E7" si="0">20*1.5</f>
        <v>30</v>
      </c>
      <c r="E7" s="10">
        <f t="shared" si="0"/>
        <v>30</v>
      </c>
      <c r="F7" s="10">
        <f>20*1.3</f>
        <v>26</v>
      </c>
      <c r="G7" s="10">
        <f>20*1.3</f>
        <v>26</v>
      </c>
      <c r="H7" s="10">
        <f>20*1.5</f>
        <v>30</v>
      </c>
      <c r="I7" s="10">
        <f t="shared" ref="I7:N7" si="1">20*1.3</f>
        <v>26</v>
      </c>
      <c r="J7" s="10">
        <f t="shared" si="1"/>
        <v>26</v>
      </c>
      <c r="K7" s="10">
        <f t="shared" si="1"/>
        <v>26</v>
      </c>
      <c r="L7" s="10">
        <f t="shared" si="1"/>
        <v>26</v>
      </c>
      <c r="M7" s="10">
        <f t="shared" si="1"/>
        <v>26</v>
      </c>
      <c r="N7" s="11">
        <f t="shared" si="1"/>
        <v>26</v>
      </c>
    </row>
    <row r="8" spans="1:17" x14ac:dyDescent="0.3">
      <c r="A8" s="1"/>
      <c r="B8" s="7" t="s">
        <v>25</v>
      </c>
      <c r="C8" s="12">
        <f>C6*C7</f>
        <v>22020</v>
      </c>
      <c r="D8" s="12">
        <f>D6*D7</f>
        <v>23121</v>
      </c>
      <c r="E8" s="12">
        <f>E6*E7</f>
        <v>24277.050000000003</v>
      </c>
      <c r="F8" s="12">
        <f t="shared" ref="F8:N8" si="2">F6*F7</f>
        <v>16614</v>
      </c>
      <c r="G8" s="12">
        <f t="shared" si="2"/>
        <v>16946.28</v>
      </c>
      <c r="H8" s="12">
        <f t="shared" si="2"/>
        <v>27918.607500000002</v>
      </c>
      <c r="I8" s="12">
        <f t="shared" si="2"/>
        <v>17285.205600000001</v>
      </c>
      <c r="J8" s="12">
        <f t="shared" si="2"/>
        <v>17630.909712000001</v>
      </c>
      <c r="K8" s="12">
        <f t="shared" si="2"/>
        <v>17983.527906240004</v>
      </c>
      <c r="L8" s="12">
        <f t="shared" si="2"/>
        <v>18343.198464364803</v>
      </c>
      <c r="M8" s="12">
        <f t="shared" si="2"/>
        <v>18710.0624336521</v>
      </c>
      <c r="N8" s="13">
        <f t="shared" si="2"/>
        <v>19084.263682325141</v>
      </c>
    </row>
    <row r="9" spans="1:17" x14ac:dyDescent="0.3">
      <c r="A9" s="1"/>
      <c r="B9" s="14" t="s">
        <v>26</v>
      </c>
      <c r="C9" s="353">
        <f>SUM(C8:E8)</f>
        <v>69418.05</v>
      </c>
      <c r="D9" s="353"/>
      <c r="E9" s="353"/>
      <c r="F9" s="353">
        <f t="shared" ref="F9" si="3">SUM(F8:H8)</f>
        <v>61478.887499999997</v>
      </c>
      <c r="G9" s="353"/>
      <c r="H9" s="353"/>
      <c r="I9" s="353">
        <f t="shared" ref="I9" si="4">SUM(I8:K8)</f>
        <v>52899.643218240002</v>
      </c>
      <c r="J9" s="353"/>
      <c r="K9" s="353"/>
      <c r="L9" s="353">
        <f t="shared" ref="L9" si="5">SUM(L8:N8)</f>
        <v>56137.52458034204</v>
      </c>
      <c r="M9" s="353"/>
      <c r="N9" s="361"/>
    </row>
    <row r="10" spans="1:17" ht="15" thickBot="1" x14ac:dyDescent="0.35">
      <c r="A10" s="1"/>
      <c r="B10" s="15" t="s">
        <v>27</v>
      </c>
      <c r="C10" s="362">
        <f>C9+F9+I9+L9</f>
        <v>239934.10529858206</v>
      </c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3"/>
    </row>
    <row r="11" spans="1:17" x14ac:dyDescent="0.3">
      <c r="A11" s="1"/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  <row r="12" spans="1:17" s="17" customFormat="1" ht="15" thickBot="1" x14ac:dyDescent="0.35">
      <c r="A12" s="2"/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354"/>
      <c r="M12" s="354"/>
      <c r="N12" s="354"/>
      <c r="O12" s="16"/>
      <c r="P12" s="16"/>
      <c r="Q12" s="16"/>
    </row>
    <row r="13" spans="1:17" s="17" customFormat="1" ht="18.75" customHeight="1" x14ac:dyDescent="0.3">
      <c r="A13" s="2"/>
      <c r="B13" s="355" t="s">
        <v>28</v>
      </c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6"/>
      <c r="N13" s="357"/>
      <c r="O13" s="16"/>
      <c r="P13" s="16"/>
      <c r="Q13" s="16"/>
    </row>
    <row r="14" spans="1:17" s="17" customFormat="1" x14ac:dyDescent="0.3">
      <c r="A14" s="2"/>
      <c r="B14" s="348" t="s">
        <v>29</v>
      </c>
      <c r="C14" s="349" t="s">
        <v>0</v>
      </c>
      <c r="D14" s="349"/>
      <c r="E14" s="349"/>
      <c r="F14" s="349" t="s">
        <v>1</v>
      </c>
      <c r="G14" s="349"/>
      <c r="H14" s="349"/>
      <c r="I14" s="349" t="s">
        <v>2</v>
      </c>
      <c r="J14" s="349"/>
      <c r="K14" s="349"/>
      <c r="L14" s="349" t="s">
        <v>3</v>
      </c>
      <c r="M14" s="349"/>
      <c r="N14" s="350"/>
      <c r="O14" s="16"/>
      <c r="P14" s="16"/>
      <c r="Q14" s="16"/>
    </row>
    <row r="15" spans="1:17" s="17" customFormat="1" x14ac:dyDescent="0.3">
      <c r="A15" s="2"/>
      <c r="B15" s="348"/>
      <c r="C15" s="4" t="s">
        <v>5</v>
      </c>
      <c r="D15" s="4" t="s">
        <v>6</v>
      </c>
      <c r="E15" s="4" t="s">
        <v>7</v>
      </c>
      <c r="F15" s="5" t="s">
        <v>8</v>
      </c>
      <c r="G15" s="5" t="s">
        <v>9</v>
      </c>
      <c r="H15" s="4" t="s">
        <v>10</v>
      </c>
      <c r="I15" s="5" t="s">
        <v>11</v>
      </c>
      <c r="J15" s="5" t="s">
        <v>12</v>
      </c>
      <c r="K15" s="5" t="s">
        <v>13</v>
      </c>
      <c r="L15" s="5" t="s">
        <v>14</v>
      </c>
      <c r="M15" s="5" t="s">
        <v>15</v>
      </c>
      <c r="N15" s="6" t="s">
        <v>16</v>
      </c>
      <c r="O15" s="16"/>
      <c r="P15" s="16"/>
      <c r="Q15" s="16"/>
    </row>
    <row r="16" spans="1:17" s="17" customFormat="1" x14ac:dyDescent="0.3">
      <c r="A16" s="2"/>
      <c r="B16" s="7" t="s">
        <v>30</v>
      </c>
      <c r="C16" s="18">
        <f t="shared" ref="C16:N16" si="6">C6</f>
        <v>734</v>
      </c>
      <c r="D16" s="18">
        <f t="shared" si="6"/>
        <v>770.7</v>
      </c>
      <c r="E16" s="18">
        <f t="shared" si="6"/>
        <v>809.23500000000013</v>
      </c>
      <c r="F16" s="18">
        <f t="shared" si="6"/>
        <v>639</v>
      </c>
      <c r="G16" s="18">
        <f t="shared" si="6"/>
        <v>651.78</v>
      </c>
      <c r="H16" s="18">
        <f t="shared" si="6"/>
        <v>930.62025000000006</v>
      </c>
      <c r="I16" s="18">
        <f t="shared" si="6"/>
        <v>664.81560000000002</v>
      </c>
      <c r="J16" s="18">
        <f t="shared" si="6"/>
        <v>678.11191200000007</v>
      </c>
      <c r="K16" s="18">
        <f t="shared" si="6"/>
        <v>691.67415024000013</v>
      </c>
      <c r="L16" s="18">
        <f t="shared" si="6"/>
        <v>705.5076332448001</v>
      </c>
      <c r="M16" s="18">
        <f t="shared" si="6"/>
        <v>719.61778590969607</v>
      </c>
      <c r="N16" s="19">
        <f t="shared" si="6"/>
        <v>734.01014162788999</v>
      </c>
      <c r="O16" s="16"/>
      <c r="P16" s="16"/>
      <c r="Q16" s="16"/>
    </row>
    <row r="17" spans="1:17" s="17" customFormat="1" x14ac:dyDescent="0.3">
      <c r="A17" s="2"/>
      <c r="B17" s="7" t="s">
        <v>31</v>
      </c>
      <c r="C17" s="8">
        <f>D16*1.1</f>
        <v>847.7700000000001</v>
      </c>
      <c r="D17" s="8">
        <f>E16*1.1</f>
        <v>890.15850000000023</v>
      </c>
      <c r="E17" s="8">
        <f>F16*1.1</f>
        <v>702.90000000000009</v>
      </c>
      <c r="F17" s="8">
        <f>G16*1.05</f>
        <v>684.36900000000003</v>
      </c>
      <c r="G17" s="8">
        <f>H16*1.05</f>
        <v>977.15126250000014</v>
      </c>
      <c r="H17" s="8">
        <f>I16*1.1</f>
        <v>731.29716000000008</v>
      </c>
      <c r="I17" s="8">
        <f>J16*1.05</f>
        <v>712.01750760000016</v>
      </c>
      <c r="J17" s="8">
        <f>K16*1.05</f>
        <v>726.25785775200018</v>
      </c>
      <c r="K17" s="8">
        <f>L16*1.05</f>
        <v>740.78301490704018</v>
      </c>
      <c r="L17" s="8">
        <f>M16*1.05</f>
        <v>755.59867520518094</v>
      </c>
      <c r="M17" s="8">
        <f>N16*1.05</f>
        <v>770.71064870928456</v>
      </c>
      <c r="N17" s="9">
        <f>811*1.05</f>
        <v>851.55000000000007</v>
      </c>
      <c r="O17" s="16"/>
      <c r="P17" s="16"/>
      <c r="Q17" s="16"/>
    </row>
    <row r="18" spans="1:17" s="17" customFormat="1" x14ac:dyDescent="0.3">
      <c r="A18" s="2"/>
      <c r="B18" s="7" t="s">
        <v>32</v>
      </c>
      <c r="C18" s="8">
        <f t="shared" ref="C18:N18" si="7">C16+C17</f>
        <v>1581.77</v>
      </c>
      <c r="D18" s="8">
        <f t="shared" si="7"/>
        <v>1660.8585000000003</v>
      </c>
      <c r="E18" s="8">
        <f t="shared" si="7"/>
        <v>1512.1350000000002</v>
      </c>
      <c r="F18" s="8">
        <f t="shared" si="7"/>
        <v>1323.3690000000001</v>
      </c>
      <c r="G18" s="8">
        <f t="shared" si="7"/>
        <v>1628.9312625000002</v>
      </c>
      <c r="H18" s="8">
        <f t="shared" si="7"/>
        <v>1661.91741</v>
      </c>
      <c r="I18" s="8">
        <f t="shared" si="7"/>
        <v>1376.8331076000002</v>
      </c>
      <c r="J18" s="8">
        <f t="shared" si="7"/>
        <v>1404.3697697520001</v>
      </c>
      <c r="K18" s="8">
        <f t="shared" si="7"/>
        <v>1432.4571651470403</v>
      </c>
      <c r="L18" s="8">
        <f t="shared" si="7"/>
        <v>1461.106308449981</v>
      </c>
      <c r="M18" s="8">
        <f t="shared" si="7"/>
        <v>1490.3284346189807</v>
      </c>
      <c r="N18" s="9">
        <f t="shared" si="7"/>
        <v>1585.5601416278901</v>
      </c>
      <c r="O18" s="16"/>
      <c r="P18" s="16"/>
      <c r="Q18" s="16"/>
    </row>
    <row r="19" spans="1:17" s="17" customFormat="1" x14ac:dyDescent="0.3">
      <c r="A19" s="2"/>
      <c r="B19" s="7" t="s">
        <v>33</v>
      </c>
      <c r="C19" s="18">
        <v>1106</v>
      </c>
      <c r="D19" s="18">
        <f t="shared" ref="D19:N19" si="8">C17</f>
        <v>847.7700000000001</v>
      </c>
      <c r="E19" s="18">
        <f t="shared" si="8"/>
        <v>890.15850000000023</v>
      </c>
      <c r="F19" s="18">
        <f t="shared" si="8"/>
        <v>702.90000000000009</v>
      </c>
      <c r="G19" s="18">
        <f t="shared" si="8"/>
        <v>684.36900000000003</v>
      </c>
      <c r="H19" s="18">
        <f t="shared" si="8"/>
        <v>977.15126250000014</v>
      </c>
      <c r="I19" s="18">
        <f t="shared" si="8"/>
        <v>731.29716000000008</v>
      </c>
      <c r="J19" s="18">
        <f t="shared" si="8"/>
        <v>712.01750760000016</v>
      </c>
      <c r="K19" s="18">
        <f t="shared" si="8"/>
        <v>726.25785775200018</v>
      </c>
      <c r="L19" s="18">
        <f t="shared" si="8"/>
        <v>740.78301490704018</v>
      </c>
      <c r="M19" s="18">
        <f t="shared" si="8"/>
        <v>755.59867520518094</v>
      </c>
      <c r="N19" s="19">
        <f t="shared" si="8"/>
        <v>770.71064870928456</v>
      </c>
      <c r="O19" s="16"/>
      <c r="P19" s="16"/>
      <c r="Q19" s="16"/>
    </row>
    <row r="20" spans="1:17" s="17" customFormat="1" x14ac:dyDescent="0.3">
      <c r="A20" s="2"/>
      <c r="B20" s="7" t="s">
        <v>34</v>
      </c>
      <c r="C20" s="8">
        <f t="shared" ref="C20:N20" si="9">C18-C19</f>
        <v>475.77</v>
      </c>
      <c r="D20" s="8">
        <f t="shared" si="9"/>
        <v>813.08850000000018</v>
      </c>
      <c r="E20" s="8">
        <f t="shared" si="9"/>
        <v>621.97649999999999</v>
      </c>
      <c r="F20" s="8">
        <f t="shared" si="9"/>
        <v>620.46900000000005</v>
      </c>
      <c r="G20" s="8">
        <f t="shared" si="9"/>
        <v>944.5622625000002</v>
      </c>
      <c r="H20" s="8">
        <f t="shared" si="9"/>
        <v>684.76614749999987</v>
      </c>
      <c r="I20" s="8">
        <f t="shared" si="9"/>
        <v>645.5359476000001</v>
      </c>
      <c r="J20" s="8">
        <f t="shared" si="9"/>
        <v>692.35226215199998</v>
      </c>
      <c r="K20" s="8">
        <f t="shared" si="9"/>
        <v>706.19930739504014</v>
      </c>
      <c r="L20" s="8">
        <f t="shared" si="9"/>
        <v>720.32329354294086</v>
      </c>
      <c r="M20" s="8">
        <f t="shared" si="9"/>
        <v>734.7297594137998</v>
      </c>
      <c r="N20" s="9">
        <f t="shared" si="9"/>
        <v>814.84949291860551</v>
      </c>
      <c r="O20" s="16"/>
      <c r="P20" s="16"/>
      <c r="Q20" s="16"/>
    </row>
    <row r="21" spans="1:17" s="17" customFormat="1" x14ac:dyDescent="0.3">
      <c r="A21" s="2"/>
      <c r="B21" s="20" t="s">
        <v>35</v>
      </c>
      <c r="C21" s="351">
        <f>(C20+D20+E20)</f>
        <v>1910.8350000000003</v>
      </c>
      <c r="D21" s="351"/>
      <c r="E21" s="351"/>
      <c r="F21" s="351">
        <f>(F20+G20+H20)</f>
        <v>2249.7974100000001</v>
      </c>
      <c r="G21" s="351"/>
      <c r="H21" s="351"/>
      <c r="I21" s="351">
        <f>(I20+J20+K20)</f>
        <v>2044.0875171470402</v>
      </c>
      <c r="J21" s="351"/>
      <c r="K21" s="351"/>
      <c r="L21" s="351">
        <f>(L20+M20+N20)</f>
        <v>2269.9025458753463</v>
      </c>
      <c r="M21" s="351"/>
      <c r="N21" s="352"/>
      <c r="O21" s="16"/>
      <c r="P21" s="16"/>
      <c r="Q21" s="16"/>
    </row>
    <row r="22" spans="1:17" s="17" customFormat="1" x14ac:dyDescent="0.3">
      <c r="A22" s="2"/>
      <c r="B22" s="7" t="s">
        <v>36</v>
      </c>
      <c r="C22" s="21">
        <v>20</v>
      </c>
      <c r="D22" s="21">
        <v>20</v>
      </c>
      <c r="E22" s="21">
        <v>20</v>
      </c>
      <c r="F22" s="21">
        <v>20</v>
      </c>
      <c r="G22" s="21">
        <v>20</v>
      </c>
      <c r="H22" s="21">
        <v>20</v>
      </c>
      <c r="I22" s="21">
        <v>20</v>
      </c>
      <c r="J22" s="21">
        <v>20</v>
      </c>
      <c r="K22" s="21">
        <v>20</v>
      </c>
      <c r="L22" s="21">
        <v>20</v>
      </c>
      <c r="M22" s="21">
        <v>20</v>
      </c>
      <c r="N22" s="21">
        <v>20</v>
      </c>
      <c r="O22" s="16"/>
      <c r="P22" s="16"/>
      <c r="Q22" s="16"/>
    </row>
    <row r="23" spans="1:17" s="17" customFormat="1" x14ac:dyDescent="0.3">
      <c r="A23" s="2"/>
      <c r="B23" s="22" t="s">
        <v>37</v>
      </c>
      <c r="C23" s="12">
        <f>C22*C20</f>
        <v>9515.4</v>
      </c>
      <c r="D23" s="12">
        <f>D22*D20</f>
        <v>16261.770000000004</v>
      </c>
      <c r="E23" s="12">
        <f>E22*E20</f>
        <v>12439.529999999999</v>
      </c>
      <c r="F23" s="12">
        <f t="shared" ref="F23:N23" si="10">F22*F20</f>
        <v>12409.380000000001</v>
      </c>
      <c r="G23" s="12">
        <f t="shared" si="10"/>
        <v>18891.245250000004</v>
      </c>
      <c r="H23" s="12">
        <f t="shared" si="10"/>
        <v>13695.322949999998</v>
      </c>
      <c r="I23" s="12">
        <f t="shared" si="10"/>
        <v>12910.718952000003</v>
      </c>
      <c r="J23" s="12">
        <f t="shared" si="10"/>
        <v>13847.04524304</v>
      </c>
      <c r="K23" s="12">
        <f t="shared" si="10"/>
        <v>14123.986147900803</v>
      </c>
      <c r="L23" s="12">
        <f t="shared" si="10"/>
        <v>14406.465870858818</v>
      </c>
      <c r="M23" s="12">
        <f t="shared" si="10"/>
        <v>14694.595188275996</v>
      </c>
      <c r="N23" s="12">
        <f t="shared" si="10"/>
        <v>16296.98985837211</v>
      </c>
      <c r="O23" s="16"/>
      <c r="P23" s="16"/>
      <c r="Q23" s="16"/>
    </row>
    <row r="24" spans="1:17" s="17" customFormat="1" x14ac:dyDescent="0.3">
      <c r="A24" s="2"/>
      <c r="B24" s="14" t="s">
        <v>38</v>
      </c>
      <c r="C24" s="353">
        <f>C23+D23+E23</f>
        <v>38216.700000000004</v>
      </c>
      <c r="D24" s="353"/>
      <c r="E24" s="353"/>
      <c r="F24" s="353">
        <f>F23+G23+H23</f>
        <v>44995.948199999999</v>
      </c>
      <c r="G24" s="353"/>
      <c r="H24" s="353"/>
      <c r="I24" s="353">
        <f>I23+J23+K23</f>
        <v>40881.75034294081</v>
      </c>
      <c r="J24" s="353"/>
      <c r="K24" s="353"/>
      <c r="L24" s="353">
        <f>L23+M23+N23</f>
        <v>45398.050917506924</v>
      </c>
      <c r="M24" s="353"/>
      <c r="N24" s="353"/>
      <c r="O24" s="16"/>
      <c r="P24" s="16"/>
      <c r="Q24" s="16"/>
    </row>
    <row r="25" spans="1:17" s="17" customFormat="1" ht="15" thickBot="1" x14ac:dyDescent="0.35">
      <c r="A25" s="2"/>
      <c r="B25" s="15" t="s">
        <v>39</v>
      </c>
      <c r="C25" s="343">
        <f>C24+F24+I24+L24</f>
        <v>169492.44946044774</v>
      </c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4"/>
      <c r="O25" s="16"/>
      <c r="P25" s="16"/>
      <c r="Q25" s="16"/>
    </row>
    <row r="26" spans="1:17" s="17" customForma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6"/>
      <c r="P26" s="16"/>
      <c r="Q26" s="16"/>
    </row>
    <row r="27" spans="1:17" s="17" customFormat="1" ht="15" thickBo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6"/>
      <c r="P27" s="16"/>
      <c r="Q27" s="16"/>
    </row>
    <row r="28" spans="1:17" s="17" customFormat="1" ht="18" x14ac:dyDescent="0.3">
      <c r="A28" s="2"/>
      <c r="B28" s="345" t="s">
        <v>40</v>
      </c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7"/>
      <c r="P28" s="16"/>
      <c r="Q28" s="16"/>
    </row>
    <row r="29" spans="1:17" s="17" customFormat="1" x14ac:dyDescent="0.3">
      <c r="A29" s="2"/>
      <c r="B29" s="348" t="s">
        <v>17</v>
      </c>
      <c r="C29" s="349" t="s">
        <v>0</v>
      </c>
      <c r="D29" s="349"/>
      <c r="E29" s="349"/>
      <c r="F29" s="23"/>
      <c r="G29" s="23"/>
      <c r="H29" s="23"/>
      <c r="I29" s="23"/>
      <c r="J29" s="23"/>
      <c r="K29" s="23"/>
      <c r="L29" s="23"/>
      <c r="M29" s="23"/>
      <c r="N29" s="23"/>
      <c r="O29" s="350" t="s">
        <v>4</v>
      </c>
      <c r="P29" s="16"/>
      <c r="Q29" s="16"/>
    </row>
    <row r="30" spans="1:17" x14ac:dyDescent="0.3">
      <c r="B30" s="348"/>
      <c r="C30" s="4" t="s">
        <v>5</v>
      </c>
      <c r="D30" s="4" t="s">
        <v>6</v>
      </c>
      <c r="E30" s="4" t="s">
        <v>7</v>
      </c>
      <c r="F30" s="5" t="s">
        <v>8</v>
      </c>
      <c r="G30" s="5" t="s">
        <v>9</v>
      </c>
      <c r="H30" s="4" t="s">
        <v>10</v>
      </c>
      <c r="I30" s="5" t="s">
        <v>11</v>
      </c>
      <c r="J30" s="5" t="s">
        <v>12</v>
      </c>
      <c r="K30" s="5" t="s">
        <v>13</v>
      </c>
      <c r="L30" s="5" t="s">
        <v>14</v>
      </c>
      <c r="M30" s="5" t="s">
        <v>15</v>
      </c>
      <c r="N30" s="5" t="s">
        <v>16</v>
      </c>
      <c r="O30" s="350"/>
    </row>
    <row r="31" spans="1:17" x14ac:dyDescent="0.3">
      <c r="B31" s="7" t="s">
        <v>19</v>
      </c>
      <c r="C31" s="24">
        <f>C8</f>
        <v>22020</v>
      </c>
      <c r="D31" s="24">
        <f t="shared" ref="D31:N31" si="11">D8</f>
        <v>23121</v>
      </c>
      <c r="E31" s="24">
        <f t="shared" si="11"/>
        <v>24277.050000000003</v>
      </c>
      <c r="F31" s="24">
        <f t="shared" si="11"/>
        <v>16614</v>
      </c>
      <c r="G31" s="24">
        <f t="shared" si="11"/>
        <v>16946.28</v>
      </c>
      <c r="H31" s="24">
        <f t="shared" si="11"/>
        <v>27918.607500000002</v>
      </c>
      <c r="I31" s="24">
        <f t="shared" si="11"/>
        <v>17285.205600000001</v>
      </c>
      <c r="J31" s="24">
        <f t="shared" si="11"/>
        <v>17630.909712000001</v>
      </c>
      <c r="K31" s="24">
        <f t="shared" si="11"/>
        <v>17983.527906240004</v>
      </c>
      <c r="L31" s="24">
        <f t="shared" si="11"/>
        <v>18343.198464364803</v>
      </c>
      <c r="M31" s="24">
        <f t="shared" si="11"/>
        <v>18710.0624336521</v>
      </c>
      <c r="N31" s="24">
        <f t="shared" si="11"/>
        <v>19084.263682325141</v>
      </c>
      <c r="O31" s="25">
        <f>SUM(C31:N31)</f>
        <v>239934.105298582</v>
      </c>
    </row>
    <row r="32" spans="1:17" x14ac:dyDescent="0.3">
      <c r="B32" s="26" t="s">
        <v>41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8"/>
    </row>
    <row r="33" spans="2:15" x14ac:dyDescent="0.3">
      <c r="B33" s="29" t="s">
        <v>42</v>
      </c>
      <c r="C33" s="30">
        <v>2500</v>
      </c>
      <c r="D33" s="30">
        <v>2500</v>
      </c>
      <c r="E33" s="30">
        <v>2500</v>
      </c>
      <c r="F33" s="30">
        <v>2500</v>
      </c>
      <c r="G33" s="30">
        <v>2500</v>
      </c>
      <c r="H33" s="30">
        <v>2500</v>
      </c>
      <c r="I33" s="30">
        <v>2500</v>
      </c>
      <c r="J33" s="30">
        <v>2500</v>
      </c>
      <c r="K33" s="30">
        <v>2500</v>
      </c>
      <c r="L33" s="30">
        <v>2500</v>
      </c>
      <c r="M33" s="30">
        <v>2500</v>
      </c>
      <c r="N33" s="30">
        <v>2500</v>
      </c>
      <c r="O33" s="31">
        <f>SUM(C33:N33)</f>
        <v>30000</v>
      </c>
    </row>
    <row r="34" spans="2:15" x14ac:dyDescent="0.3">
      <c r="B34" s="29" t="s">
        <v>43</v>
      </c>
      <c r="C34" s="30">
        <v>400</v>
      </c>
      <c r="D34" s="30">
        <v>400</v>
      </c>
      <c r="E34" s="30">
        <v>350</v>
      </c>
      <c r="F34" s="30">
        <v>350</v>
      </c>
      <c r="G34" s="30">
        <v>400</v>
      </c>
      <c r="H34" s="30">
        <v>400</v>
      </c>
      <c r="I34" s="30">
        <v>350</v>
      </c>
      <c r="J34" s="30">
        <v>350</v>
      </c>
      <c r="K34" s="30">
        <v>350</v>
      </c>
      <c r="L34" s="30">
        <v>350</v>
      </c>
      <c r="M34" s="30">
        <v>350</v>
      </c>
      <c r="N34" s="30">
        <v>400</v>
      </c>
      <c r="O34" s="31">
        <f>SUM(C34:N34)</f>
        <v>4450</v>
      </c>
    </row>
    <row r="35" spans="2:15" x14ac:dyDescent="0.3">
      <c r="B35" s="29" t="s">
        <v>44</v>
      </c>
      <c r="C35" s="30">
        <v>700</v>
      </c>
      <c r="D35" s="30">
        <v>700</v>
      </c>
      <c r="E35" s="30">
        <v>700</v>
      </c>
      <c r="F35" s="30">
        <v>600</v>
      </c>
      <c r="G35" s="30">
        <v>600</v>
      </c>
      <c r="H35" s="30">
        <v>700</v>
      </c>
      <c r="I35" s="30">
        <v>500</v>
      </c>
      <c r="J35" s="30">
        <v>500</v>
      </c>
      <c r="K35" s="30">
        <v>500</v>
      </c>
      <c r="L35" s="30">
        <v>500</v>
      </c>
      <c r="M35" s="30">
        <v>500</v>
      </c>
      <c r="N35" s="30">
        <v>800</v>
      </c>
      <c r="O35" s="31">
        <f>SUM(C35:N35)</f>
        <v>7300</v>
      </c>
    </row>
    <row r="36" spans="2:15" x14ac:dyDescent="0.3">
      <c r="B36" s="29" t="s">
        <v>45</v>
      </c>
      <c r="C36" s="30">
        <v>3000</v>
      </c>
      <c r="D36" s="30">
        <v>3000</v>
      </c>
      <c r="E36" s="30">
        <v>2600</v>
      </c>
      <c r="F36" s="30">
        <v>2600</v>
      </c>
      <c r="G36" s="30">
        <v>3000</v>
      </c>
      <c r="H36" s="30">
        <v>2600</v>
      </c>
      <c r="I36" s="30">
        <v>2600</v>
      </c>
      <c r="J36" s="30">
        <v>2600</v>
      </c>
      <c r="K36" s="30">
        <v>2600</v>
      </c>
      <c r="L36" s="30">
        <v>2600</v>
      </c>
      <c r="M36" s="30">
        <v>2600</v>
      </c>
      <c r="N36" s="30">
        <v>3000</v>
      </c>
      <c r="O36" s="31">
        <f>SUM(C36:N36)</f>
        <v>32800</v>
      </c>
    </row>
    <row r="37" spans="2:15" x14ac:dyDescent="0.3">
      <c r="B37" s="29" t="s">
        <v>46</v>
      </c>
      <c r="C37" s="30">
        <v>200</v>
      </c>
      <c r="D37" s="30">
        <v>200</v>
      </c>
      <c r="E37" s="30">
        <v>200</v>
      </c>
      <c r="F37" s="30">
        <v>200</v>
      </c>
      <c r="G37" s="30">
        <v>200</v>
      </c>
      <c r="H37" s="30">
        <v>200</v>
      </c>
      <c r="I37" s="30">
        <v>200</v>
      </c>
      <c r="J37" s="30">
        <v>200</v>
      </c>
      <c r="K37" s="30">
        <v>200</v>
      </c>
      <c r="L37" s="30">
        <v>200</v>
      </c>
      <c r="M37" s="30">
        <v>200</v>
      </c>
      <c r="N37" s="30">
        <v>200</v>
      </c>
      <c r="O37" s="31">
        <f>SUM(C37:N37)</f>
        <v>2400</v>
      </c>
    </row>
    <row r="38" spans="2:15" ht="15" thickBot="1" x14ac:dyDescent="0.35">
      <c r="B38" s="32" t="s">
        <v>47</v>
      </c>
      <c r="C38" s="33">
        <f>SUM(C33:C37)</f>
        <v>6800</v>
      </c>
      <c r="D38" s="33">
        <f t="shared" ref="D38:N38" si="12">SUM(D33:D37)</f>
        <v>6800</v>
      </c>
      <c r="E38" s="33">
        <f t="shared" si="12"/>
        <v>6350</v>
      </c>
      <c r="F38" s="33">
        <f t="shared" si="12"/>
        <v>6250</v>
      </c>
      <c r="G38" s="33">
        <f t="shared" si="12"/>
        <v>6700</v>
      </c>
      <c r="H38" s="33">
        <f t="shared" si="12"/>
        <v>6400</v>
      </c>
      <c r="I38" s="33">
        <f t="shared" si="12"/>
        <v>6150</v>
      </c>
      <c r="J38" s="33">
        <f t="shared" si="12"/>
        <v>6150</v>
      </c>
      <c r="K38" s="33">
        <f t="shared" si="12"/>
        <v>6150</v>
      </c>
      <c r="L38" s="33">
        <f t="shared" si="12"/>
        <v>6150</v>
      </c>
      <c r="M38" s="33">
        <f t="shared" si="12"/>
        <v>6150</v>
      </c>
      <c r="N38" s="33">
        <f t="shared" si="12"/>
        <v>6900</v>
      </c>
      <c r="O38" s="34">
        <f>SUM(O33:O37)</f>
        <v>76950</v>
      </c>
    </row>
  </sheetData>
  <sheetProtection formatColumns="0" formatRows="0"/>
  <mergeCells count="34">
    <mergeCell ref="B11:N11"/>
    <mergeCell ref="B1:N1"/>
    <mergeCell ref="B2:E2"/>
    <mergeCell ref="B3:N3"/>
    <mergeCell ref="B4:B5"/>
    <mergeCell ref="C4:E4"/>
    <mergeCell ref="F4:H4"/>
    <mergeCell ref="I4:K4"/>
    <mergeCell ref="L4:N4"/>
    <mergeCell ref="C9:E9"/>
    <mergeCell ref="F9:H9"/>
    <mergeCell ref="I9:K9"/>
    <mergeCell ref="L9:N9"/>
    <mergeCell ref="C10:N10"/>
    <mergeCell ref="B12:N12"/>
    <mergeCell ref="B13:N13"/>
    <mergeCell ref="B14:B15"/>
    <mergeCell ref="C14:E14"/>
    <mergeCell ref="F14:H14"/>
    <mergeCell ref="I14:K14"/>
    <mergeCell ref="L14:N14"/>
    <mergeCell ref="C21:E21"/>
    <mergeCell ref="F21:H21"/>
    <mergeCell ref="I21:K21"/>
    <mergeCell ref="L21:N21"/>
    <mergeCell ref="C24:E24"/>
    <mergeCell ref="F24:H24"/>
    <mergeCell ref="I24:K24"/>
    <mergeCell ref="L24:N24"/>
    <mergeCell ref="C25:N25"/>
    <mergeCell ref="B28:O28"/>
    <mergeCell ref="B29:B30"/>
    <mergeCell ref="C29:E29"/>
    <mergeCell ref="O29:O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526E-91E0-4D9F-AF52-EF9E6C044FA9}">
  <sheetPr>
    <pageSetUpPr fitToPage="1"/>
  </sheetPr>
  <dimension ref="A2:P32"/>
  <sheetViews>
    <sheetView zoomScaleNormal="100" workbookViewId="0">
      <selection activeCell="C15" sqref="C15:G15"/>
    </sheetView>
  </sheetViews>
  <sheetFormatPr defaultColWidth="9.109375" defaultRowHeight="12" x14ac:dyDescent="0.25"/>
  <cols>
    <col min="1" max="1" width="6" style="40" customWidth="1"/>
    <col min="2" max="2" width="49.88671875" style="40" customWidth="1"/>
    <col min="3" max="6" width="9.77734375" style="36" customWidth="1"/>
    <col min="7" max="7" width="9.77734375" style="37" customWidth="1"/>
    <col min="8" max="15" width="9.77734375" style="38" customWidth="1"/>
    <col min="16" max="16384" width="9.109375" style="38"/>
  </cols>
  <sheetData>
    <row r="2" spans="1:16" ht="17.399999999999999" customHeight="1" x14ac:dyDescent="0.3">
      <c r="B2" s="289" t="s">
        <v>129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</row>
    <row r="3" spans="1:16" x14ac:dyDescent="0.25">
      <c r="B3" s="82"/>
      <c r="C3" s="41"/>
      <c r="E3" s="38"/>
      <c r="F3" s="38"/>
      <c r="G3" s="38"/>
    </row>
    <row r="4" spans="1:16" ht="48" x14ac:dyDescent="0.25">
      <c r="A4" s="78"/>
      <c r="B4" s="86" t="s">
        <v>99</v>
      </c>
      <c r="C4" s="95" t="s">
        <v>100</v>
      </c>
      <c r="D4" s="98" t="s">
        <v>112</v>
      </c>
      <c r="E4" s="98" t="s">
        <v>139</v>
      </c>
      <c r="F4" s="38"/>
      <c r="G4" s="38"/>
    </row>
    <row r="5" spans="1:16" x14ac:dyDescent="0.25">
      <c r="A5" s="80"/>
      <c r="B5" s="88" t="s">
        <v>94</v>
      </c>
      <c r="C5" s="96">
        <v>2300</v>
      </c>
      <c r="D5" s="99">
        <f>0.1*C5</f>
        <v>230</v>
      </c>
      <c r="E5" s="100">
        <v>25</v>
      </c>
      <c r="F5" s="38"/>
      <c r="G5" s="38"/>
    </row>
    <row r="6" spans="1:16" x14ac:dyDescent="0.25">
      <c r="A6" s="80"/>
      <c r="B6" s="88" t="s">
        <v>95</v>
      </c>
      <c r="C6" s="96">
        <v>1899</v>
      </c>
      <c r="D6" s="99">
        <f>0.1*C6</f>
        <v>189.9</v>
      </c>
      <c r="E6" s="100">
        <v>25</v>
      </c>
      <c r="F6" s="38"/>
      <c r="G6" s="38"/>
    </row>
    <row r="7" spans="1:16" x14ac:dyDescent="0.25">
      <c r="A7" s="80"/>
      <c r="B7" s="88" t="s">
        <v>96</v>
      </c>
      <c r="C7" s="96">
        <v>2999</v>
      </c>
      <c r="D7" s="99">
        <f>0.1*C7</f>
        <v>299.90000000000003</v>
      </c>
      <c r="E7" s="100">
        <v>25</v>
      </c>
      <c r="F7" s="38"/>
      <c r="G7" s="38"/>
    </row>
    <row r="8" spans="1:16" x14ac:dyDescent="0.25">
      <c r="A8" s="80"/>
      <c r="B8" s="88" t="s">
        <v>97</v>
      </c>
      <c r="C8" s="96">
        <v>579</v>
      </c>
      <c r="D8" s="99">
        <f>0.1*C8</f>
        <v>57.900000000000006</v>
      </c>
      <c r="E8" s="100">
        <v>25</v>
      </c>
    </row>
    <row r="9" spans="1:16" x14ac:dyDescent="0.25">
      <c r="A9" s="76"/>
      <c r="B9" s="88" t="s">
        <v>98</v>
      </c>
      <c r="C9" s="96">
        <v>636</v>
      </c>
      <c r="D9" s="99">
        <f>0.1*C9</f>
        <v>63.6</v>
      </c>
      <c r="E9" s="100">
        <v>25</v>
      </c>
      <c r="F9" s="41"/>
      <c r="G9" s="83"/>
      <c r="H9" s="84"/>
      <c r="I9" s="84"/>
      <c r="J9" s="84"/>
      <c r="M9" s="84"/>
      <c r="N9" s="84"/>
      <c r="O9" s="84"/>
    </row>
    <row r="10" spans="1:16" x14ac:dyDescent="0.25">
      <c r="A10" s="38"/>
      <c r="B10" s="85"/>
      <c r="C10" s="85"/>
      <c r="D10" s="38"/>
      <c r="E10" s="38"/>
      <c r="F10" s="38"/>
      <c r="G10" s="38"/>
      <c r="K10" s="84"/>
      <c r="L10" s="84"/>
    </row>
    <row r="11" spans="1:16" x14ac:dyDescent="0.25">
      <c r="B11" s="236"/>
      <c r="C11" s="295" t="s">
        <v>189</v>
      </c>
      <c r="D11" s="296"/>
      <c r="E11" s="296"/>
      <c r="F11" s="296"/>
      <c r="G11" s="297"/>
      <c r="H11" s="292" t="s">
        <v>187</v>
      </c>
      <c r="I11" s="293"/>
      <c r="J11" s="294"/>
      <c r="K11" s="298" t="s">
        <v>189</v>
      </c>
      <c r="L11" s="299"/>
      <c r="M11" s="292" t="s">
        <v>188</v>
      </c>
      <c r="N11" s="293"/>
      <c r="O11" s="294"/>
    </row>
    <row r="12" spans="1:16" x14ac:dyDescent="0.25">
      <c r="A12" s="78"/>
      <c r="B12" s="86" t="s">
        <v>50</v>
      </c>
      <c r="C12" s="87" t="s">
        <v>101</v>
      </c>
      <c r="D12" s="87" t="s">
        <v>102</v>
      </c>
      <c r="E12" s="87" t="s">
        <v>103</v>
      </c>
      <c r="F12" s="87" t="s">
        <v>104</v>
      </c>
      <c r="G12" s="87" t="s">
        <v>105</v>
      </c>
      <c r="H12" s="87" t="s">
        <v>106</v>
      </c>
      <c r="I12" s="87" t="s">
        <v>107</v>
      </c>
      <c r="J12" s="87" t="s">
        <v>108</v>
      </c>
      <c r="K12" s="87" t="s">
        <v>109</v>
      </c>
      <c r="L12" s="87" t="s">
        <v>110</v>
      </c>
      <c r="M12" s="87" t="s">
        <v>15</v>
      </c>
      <c r="N12" s="87" t="s">
        <v>111</v>
      </c>
      <c r="O12" s="87" t="s">
        <v>101</v>
      </c>
      <c r="P12" s="87" t="s">
        <v>102</v>
      </c>
    </row>
    <row r="13" spans="1:16" x14ac:dyDescent="0.25">
      <c r="A13" s="78"/>
      <c r="B13" s="88" t="s">
        <v>51</v>
      </c>
      <c r="C13" s="38"/>
      <c r="D13" s="38"/>
      <c r="E13" s="38"/>
      <c r="F13" s="38"/>
      <c r="G13" s="38"/>
    </row>
    <row r="14" spans="1:16" x14ac:dyDescent="0.25">
      <c r="A14" s="78"/>
      <c r="B14" s="91" t="s">
        <v>94</v>
      </c>
      <c r="C14" s="92">
        <v>20</v>
      </c>
      <c r="D14" s="92">
        <v>20</v>
      </c>
      <c r="E14" s="92">
        <v>20</v>
      </c>
      <c r="F14" s="92">
        <v>20</v>
      </c>
      <c r="G14" s="92">
        <v>20</v>
      </c>
      <c r="H14" s="92">
        <v>30</v>
      </c>
      <c r="I14" s="92">
        <v>30</v>
      </c>
      <c r="J14" s="92">
        <v>30</v>
      </c>
      <c r="K14" s="92">
        <v>20</v>
      </c>
      <c r="L14" s="92">
        <v>20</v>
      </c>
      <c r="M14" s="92">
        <v>30</v>
      </c>
      <c r="N14" s="92">
        <v>30</v>
      </c>
      <c r="O14" s="92">
        <v>30</v>
      </c>
      <c r="P14" s="92">
        <v>20</v>
      </c>
    </row>
    <row r="15" spans="1:16" x14ac:dyDescent="0.25">
      <c r="A15" s="78"/>
      <c r="B15" s="91" t="s">
        <v>95</v>
      </c>
      <c r="C15" s="92">
        <v>40</v>
      </c>
      <c r="D15" s="92">
        <v>40</v>
      </c>
      <c r="E15" s="92">
        <v>40</v>
      </c>
      <c r="F15" s="92">
        <v>40</v>
      </c>
      <c r="G15" s="92">
        <v>40</v>
      </c>
      <c r="H15" s="92">
        <v>50</v>
      </c>
      <c r="I15" s="92">
        <v>50</v>
      </c>
      <c r="J15" s="92">
        <v>50</v>
      </c>
      <c r="K15" s="92">
        <v>40</v>
      </c>
      <c r="L15" s="92">
        <v>40</v>
      </c>
      <c r="M15" s="92">
        <v>50</v>
      </c>
      <c r="N15" s="92">
        <v>50</v>
      </c>
      <c r="O15" s="92">
        <v>50</v>
      </c>
      <c r="P15" s="92">
        <v>40</v>
      </c>
    </row>
    <row r="16" spans="1:16" x14ac:dyDescent="0.25">
      <c r="A16" s="78"/>
      <c r="B16" s="91" t="s">
        <v>96</v>
      </c>
      <c r="C16" s="92">
        <v>30</v>
      </c>
      <c r="D16" s="92">
        <v>30</v>
      </c>
      <c r="E16" s="92">
        <v>30</v>
      </c>
      <c r="F16" s="92">
        <v>30</v>
      </c>
      <c r="G16" s="92">
        <v>30</v>
      </c>
      <c r="H16" s="92">
        <v>40</v>
      </c>
      <c r="I16" s="92">
        <v>40</v>
      </c>
      <c r="J16" s="92">
        <v>40</v>
      </c>
      <c r="K16" s="92">
        <v>30</v>
      </c>
      <c r="L16" s="92">
        <v>30</v>
      </c>
      <c r="M16" s="92">
        <v>40</v>
      </c>
      <c r="N16" s="92">
        <v>40</v>
      </c>
      <c r="O16" s="92">
        <v>40</v>
      </c>
      <c r="P16" s="92">
        <v>30</v>
      </c>
    </row>
    <row r="17" spans="1:16" x14ac:dyDescent="0.25">
      <c r="A17" s="79"/>
      <c r="B17" s="91" t="s">
        <v>97</v>
      </c>
      <c r="C17" s="93">
        <v>10</v>
      </c>
      <c r="D17" s="93">
        <v>10</v>
      </c>
      <c r="E17" s="93">
        <v>10</v>
      </c>
      <c r="F17" s="93">
        <v>10</v>
      </c>
      <c r="G17" s="93">
        <v>10</v>
      </c>
      <c r="H17" s="92">
        <v>25</v>
      </c>
      <c r="I17" s="92">
        <v>25</v>
      </c>
      <c r="J17" s="92">
        <v>25</v>
      </c>
      <c r="K17" s="93">
        <v>10</v>
      </c>
      <c r="L17" s="93">
        <v>10</v>
      </c>
      <c r="M17" s="92">
        <v>25</v>
      </c>
      <c r="N17" s="92">
        <v>25</v>
      </c>
      <c r="O17" s="92">
        <v>25</v>
      </c>
      <c r="P17" s="92">
        <v>10</v>
      </c>
    </row>
    <row r="18" spans="1:16" x14ac:dyDescent="0.25">
      <c r="A18" s="80"/>
      <c r="B18" s="91" t="s">
        <v>98</v>
      </c>
      <c r="C18" s="93">
        <v>50</v>
      </c>
      <c r="D18" s="93">
        <v>50</v>
      </c>
      <c r="E18" s="93">
        <v>50</v>
      </c>
      <c r="F18" s="93">
        <v>50</v>
      </c>
      <c r="G18" s="93">
        <v>50</v>
      </c>
      <c r="H18" s="92">
        <v>60</v>
      </c>
      <c r="I18" s="92">
        <v>60</v>
      </c>
      <c r="J18" s="92">
        <v>60</v>
      </c>
      <c r="K18" s="93">
        <v>50</v>
      </c>
      <c r="L18" s="93">
        <v>50</v>
      </c>
      <c r="M18" s="92">
        <v>60</v>
      </c>
      <c r="N18" s="92">
        <v>60</v>
      </c>
      <c r="O18" s="92">
        <v>60</v>
      </c>
      <c r="P18" s="92">
        <v>50</v>
      </c>
    </row>
    <row r="19" spans="1:16" x14ac:dyDescent="0.25">
      <c r="A19" s="38"/>
      <c r="B19" s="38"/>
      <c r="C19" s="84"/>
      <c r="D19" s="84"/>
      <c r="E19" s="38"/>
      <c r="F19" s="38"/>
      <c r="G19" s="38"/>
    </row>
    <row r="20" spans="1:16" ht="30.75" customHeight="1" x14ac:dyDescent="0.25">
      <c r="A20" s="38"/>
      <c r="B20" s="102" t="s">
        <v>124</v>
      </c>
      <c r="C20" s="291" t="s">
        <v>120</v>
      </c>
      <c r="D20" s="291"/>
      <c r="E20" s="94"/>
      <c r="G20" s="44"/>
    </row>
    <row r="21" spans="1:16" x14ac:dyDescent="0.25">
      <c r="A21" s="76"/>
      <c r="B21" s="88" t="s">
        <v>121</v>
      </c>
      <c r="C21" s="103">
        <v>0.2</v>
      </c>
      <c r="D21" s="103"/>
      <c r="G21" s="44"/>
    </row>
    <row r="22" spans="1:16" x14ac:dyDescent="0.25">
      <c r="A22" s="80"/>
      <c r="B22" s="88" t="s">
        <v>122</v>
      </c>
      <c r="C22" s="103">
        <v>0.8</v>
      </c>
      <c r="D22" s="103"/>
      <c r="G22" s="44"/>
    </row>
    <row r="23" spans="1:16" x14ac:dyDescent="0.25">
      <c r="A23" s="80"/>
      <c r="B23" s="104" t="s">
        <v>53</v>
      </c>
      <c r="C23" s="103"/>
      <c r="D23" s="103">
        <v>0.4</v>
      </c>
      <c r="G23" s="44"/>
    </row>
    <row r="24" spans="1:16" x14ac:dyDescent="0.25">
      <c r="A24" s="80"/>
      <c r="B24" s="88" t="s">
        <v>54</v>
      </c>
      <c r="C24" s="103"/>
      <c r="D24" s="103">
        <v>0.6</v>
      </c>
      <c r="G24" s="44"/>
    </row>
    <row r="25" spans="1:16" ht="16.8" customHeight="1" x14ac:dyDescent="0.25">
      <c r="A25" s="38"/>
      <c r="B25" s="143" t="s">
        <v>125</v>
      </c>
      <c r="C25" s="103">
        <v>1</v>
      </c>
      <c r="D25" s="103"/>
      <c r="G25" s="44"/>
    </row>
    <row r="26" spans="1:16" x14ac:dyDescent="0.25">
      <c r="A26" s="38"/>
      <c r="B26" s="286" t="s">
        <v>128</v>
      </c>
      <c r="C26" s="287"/>
      <c r="D26" s="288"/>
      <c r="G26" s="44"/>
    </row>
    <row r="27" spans="1:16" x14ac:dyDescent="0.25">
      <c r="A27" s="38"/>
      <c r="B27" s="143" t="s">
        <v>126</v>
      </c>
      <c r="C27" s="103">
        <v>0.2</v>
      </c>
      <c r="D27" s="103"/>
      <c r="G27" s="44"/>
    </row>
    <row r="28" spans="1:16" ht="14.4" customHeight="1" x14ac:dyDescent="0.25">
      <c r="A28" s="38"/>
      <c r="B28" s="143" t="s">
        <v>127</v>
      </c>
      <c r="C28" s="103">
        <v>0.8</v>
      </c>
      <c r="D28" s="103"/>
      <c r="G28" s="44"/>
    </row>
    <row r="29" spans="1:16" x14ac:dyDescent="0.25">
      <c r="A29" s="38"/>
      <c r="B29" s="85"/>
      <c r="C29" s="85"/>
    </row>
    <row r="30" spans="1:16" x14ac:dyDescent="0.25">
      <c r="A30" s="38"/>
      <c r="B30" s="102" t="s">
        <v>123</v>
      </c>
      <c r="C30" s="102"/>
    </row>
    <row r="31" spans="1:16" ht="25.8" customHeight="1" x14ac:dyDescent="0.25">
      <c r="A31" s="79"/>
      <c r="B31" s="105" t="s">
        <v>52</v>
      </c>
      <c r="C31" s="106">
        <v>0.5</v>
      </c>
      <c r="D31" s="94"/>
    </row>
    <row r="32" spans="1:16" ht="24" x14ac:dyDescent="0.25">
      <c r="A32" s="80"/>
      <c r="B32" s="105" t="s">
        <v>55</v>
      </c>
      <c r="C32" s="106">
        <v>0.25</v>
      </c>
      <c r="D32" s="81"/>
    </row>
  </sheetData>
  <mergeCells count="7">
    <mergeCell ref="B26:D26"/>
    <mergeCell ref="B2:O2"/>
    <mergeCell ref="C20:D20"/>
    <mergeCell ref="H11:J11"/>
    <mergeCell ref="M11:O11"/>
    <mergeCell ref="C11:G11"/>
    <mergeCell ref="K11:L11"/>
  </mergeCells>
  <phoneticPr fontId="13" type="noConversion"/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71EB9-FF73-4ED3-A1E5-57173C685488}">
  <sheetPr>
    <pageSetUpPr fitToPage="1"/>
  </sheetPr>
  <dimension ref="A1:Q41"/>
  <sheetViews>
    <sheetView topLeftCell="A10" zoomScaleNormal="100" workbookViewId="0">
      <selection activeCell="N28" sqref="N28:O28"/>
    </sheetView>
  </sheetViews>
  <sheetFormatPr defaultColWidth="9.109375" defaultRowHeight="14.4" x14ac:dyDescent="0.3"/>
  <cols>
    <col min="1" max="1" width="3.33203125" style="35" customWidth="1"/>
    <col min="2" max="2" width="32.88671875" style="35" customWidth="1"/>
    <col min="3" max="3" width="7.77734375" style="35" customWidth="1"/>
    <col min="4" max="15" width="8.77734375" style="35" customWidth="1"/>
    <col min="16" max="16" width="11.109375" style="35" customWidth="1"/>
    <col min="17" max="17" width="8.77734375" style="35" customWidth="1"/>
    <col min="18" max="16384" width="9.109375" style="35"/>
  </cols>
  <sheetData>
    <row r="1" spans="1:17" x14ac:dyDescent="0.3">
      <c r="D1" s="303" t="s">
        <v>189</v>
      </c>
      <c r="E1" s="303"/>
      <c r="F1" s="303"/>
      <c r="G1" s="303"/>
      <c r="H1" s="303"/>
      <c r="I1" s="300" t="s">
        <v>187</v>
      </c>
      <c r="J1" s="300"/>
      <c r="K1" s="300"/>
      <c r="L1" s="304" t="s">
        <v>189</v>
      </c>
      <c r="M1" s="304"/>
      <c r="N1" s="300" t="s">
        <v>188</v>
      </c>
      <c r="O1" s="300"/>
      <c r="P1" s="69"/>
    </row>
    <row r="2" spans="1:17" ht="15.6" x14ac:dyDescent="0.3">
      <c r="A2" s="108"/>
      <c r="B2" s="301" t="s">
        <v>194</v>
      </c>
      <c r="C2" s="302"/>
      <c r="D2" s="98" t="str">
        <f>Assumptions!$C$12</f>
        <v>Jul</v>
      </c>
      <c r="E2" s="98" t="str">
        <f>Assumptions!$D$12</f>
        <v>Aug</v>
      </c>
      <c r="F2" s="98" t="str">
        <f>Assumptions!$E$12</f>
        <v>Sep</v>
      </c>
      <c r="G2" s="98" t="str">
        <f>Assumptions!$F$12</f>
        <v>Oct</v>
      </c>
      <c r="H2" s="98" t="str">
        <f>Assumptions!$G$12</f>
        <v>Nov</v>
      </c>
      <c r="I2" s="98" t="str">
        <f>Assumptions!$H$12</f>
        <v>Dec</v>
      </c>
      <c r="J2" s="98" t="str">
        <f>Assumptions!$I$12</f>
        <v>Jan</v>
      </c>
      <c r="K2" s="98" t="str">
        <f>Assumptions!$J$12</f>
        <v>Feb</v>
      </c>
      <c r="L2" s="98" t="str">
        <f>Assumptions!$K$12</f>
        <v>Mar</v>
      </c>
      <c r="M2" s="98" t="str">
        <f>Assumptions!$L$12</f>
        <v>Apr</v>
      </c>
      <c r="N2" s="98" t="str">
        <f>Assumptions!$M$12</f>
        <v>May</v>
      </c>
      <c r="O2" s="98" t="str">
        <f>Assumptions!$N$12</f>
        <v>Jun</v>
      </c>
      <c r="P2" s="98" t="s">
        <v>18</v>
      </c>
      <c r="Q2" s="98" t="str">
        <f>Assumptions!$O$12</f>
        <v>Jul</v>
      </c>
    </row>
    <row r="3" spans="1:17" x14ac:dyDescent="0.3">
      <c r="B3" s="42" t="str">
        <f>Assumptions!B14</f>
        <v>Photocopier - Kyco 809 ci</v>
      </c>
      <c r="C3" s="42"/>
      <c r="D3" s="43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110"/>
      <c r="Q3" s="77"/>
    </row>
    <row r="4" spans="1:17" x14ac:dyDescent="0.3">
      <c r="B4" s="38" t="s">
        <v>65</v>
      </c>
      <c r="C4" s="38"/>
      <c r="D4" s="241">
        <f>Assumptions!C14</f>
        <v>20</v>
      </c>
      <c r="E4" s="184">
        <f>Assumptions!D14</f>
        <v>20</v>
      </c>
      <c r="F4" s="184">
        <f>Assumptions!E14</f>
        <v>20</v>
      </c>
      <c r="G4" s="184">
        <f>Assumptions!F14</f>
        <v>20</v>
      </c>
      <c r="H4" s="184">
        <f>Assumptions!G14</f>
        <v>20</v>
      </c>
      <c r="I4" s="184">
        <f>Assumptions!H14</f>
        <v>30</v>
      </c>
      <c r="J4" s="184">
        <f>Assumptions!I14</f>
        <v>30</v>
      </c>
      <c r="K4" s="184">
        <f>Assumptions!J14</f>
        <v>30</v>
      </c>
      <c r="L4" s="184">
        <f>Assumptions!K14</f>
        <v>20</v>
      </c>
      <c r="M4" s="184">
        <f>Assumptions!L14</f>
        <v>20</v>
      </c>
      <c r="N4" s="184">
        <f>Assumptions!M14</f>
        <v>30</v>
      </c>
      <c r="O4" s="184">
        <f>Assumptions!N14</f>
        <v>30</v>
      </c>
      <c r="P4" s="185">
        <f>SUM(D4:O4)</f>
        <v>290</v>
      </c>
      <c r="Q4" s="184">
        <f>Assumptions!O14</f>
        <v>30</v>
      </c>
    </row>
    <row r="5" spans="1:17" x14ac:dyDescent="0.3">
      <c r="B5" s="84" t="s">
        <v>66</v>
      </c>
      <c r="C5" s="84"/>
      <c r="D5" s="242">
        <f>Assumptions!$C$5</f>
        <v>2300</v>
      </c>
      <c r="E5" s="186">
        <f>Assumptions!$C$5</f>
        <v>2300</v>
      </c>
      <c r="F5" s="186">
        <f>Assumptions!$C$5</f>
        <v>2300</v>
      </c>
      <c r="G5" s="186">
        <f>Assumptions!$C$5</f>
        <v>2300</v>
      </c>
      <c r="H5" s="186">
        <f>Assumptions!$C$5</f>
        <v>2300</v>
      </c>
      <c r="I5" s="186">
        <f>Assumptions!$C$5</f>
        <v>2300</v>
      </c>
      <c r="J5" s="186">
        <f>Assumptions!$C$5</f>
        <v>2300</v>
      </c>
      <c r="K5" s="186">
        <f>Assumptions!$C$5</f>
        <v>2300</v>
      </c>
      <c r="L5" s="186">
        <f>Assumptions!$C$5</f>
        <v>2300</v>
      </c>
      <c r="M5" s="186">
        <f>Assumptions!$C$5</f>
        <v>2300</v>
      </c>
      <c r="N5" s="186">
        <f>Assumptions!$C$5</f>
        <v>2300</v>
      </c>
      <c r="O5" s="186">
        <f>Assumptions!$C$5</f>
        <v>2300</v>
      </c>
      <c r="P5" s="187">
        <f>Assumptions!$C$5</f>
        <v>2300</v>
      </c>
      <c r="Q5" s="186">
        <f>Assumptions!$C$5</f>
        <v>2300</v>
      </c>
    </row>
    <row r="6" spans="1:17" s="53" customFormat="1" x14ac:dyDescent="0.3">
      <c r="B6" s="111" t="s">
        <v>67</v>
      </c>
      <c r="C6" s="111"/>
      <c r="D6" s="243">
        <f>D4*D5</f>
        <v>46000</v>
      </c>
      <c r="E6" s="188">
        <f t="shared" ref="E6:Q6" si="0">E4*E5</f>
        <v>46000</v>
      </c>
      <c r="F6" s="188">
        <f t="shared" si="0"/>
        <v>46000</v>
      </c>
      <c r="G6" s="188">
        <f t="shared" si="0"/>
        <v>46000</v>
      </c>
      <c r="H6" s="188">
        <f t="shared" si="0"/>
        <v>46000</v>
      </c>
      <c r="I6" s="188">
        <f t="shared" si="0"/>
        <v>69000</v>
      </c>
      <c r="J6" s="188">
        <f t="shared" si="0"/>
        <v>69000</v>
      </c>
      <c r="K6" s="188">
        <f t="shared" si="0"/>
        <v>69000</v>
      </c>
      <c r="L6" s="188">
        <f t="shared" si="0"/>
        <v>46000</v>
      </c>
      <c r="M6" s="188">
        <f t="shared" si="0"/>
        <v>46000</v>
      </c>
      <c r="N6" s="188">
        <f t="shared" si="0"/>
        <v>69000</v>
      </c>
      <c r="O6" s="188">
        <f t="shared" si="0"/>
        <v>69000</v>
      </c>
      <c r="P6" s="189">
        <f t="shared" si="0"/>
        <v>667000</v>
      </c>
      <c r="Q6" s="188">
        <f t="shared" si="0"/>
        <v>69000</v>
      </c>
    </row>
    <row r="7" spans="1:17" x14ac:dyDescent="0.3">
      <c r="B7" s="43"/>
      <c r="C7" s="43"/>
      <c r="D7" s="244"/>
      <c r="E7" s="190"/>
      <c r="F7" s="190"/>
      <c r="G7" s="190"/>
      <c r="H7" s="190"/>
      <c r="I7" s="179"/>
      <c r="J7" s="179"/>
      <c r="K7" s="179"/>
      <c r="L7" s="179"/>
      <c r="M7" s="179"/>
      <c r="N7" s="179"/>
      <c r="O7" s="179"/>
      <c r="P7" s="191"/>
      <c r="Q7" s="179"/>
    </row>
    <row r="8" spans="1:17" x14ac:dyDescent="0.3">
      <c r="B8" s="42" t="str">
        <f>Assumptions!B15</f>
        <v>Photocopier - Monochrome MZ300</v>
      </c>
      <c r="C8" s="42"/>
      <c r="D8" s="244"/>
      <c r="E8" s="190"/>
      <c r="F8" s="190"/>
      <c r="G8" s="190"/>
      <c r="H8" s="190"/>
      <c r="I8" s="179"/>
      <c r="J8" s="179"/>
      <c r="K8" s="179"/>
      <c r="L8" s="179"/>
      <c r="M8" s="179"/>
      <c r="N8" s="179"/>
      <c r="O8" s="179"/>
      <c r="P8" s="191"/>
      <c r="Q8" s="179"/>
    </row>
    <row r="9" spans="1:17" x14ac:dyDescent="0.3">
      <c r="B9" s="38" t="s">
        <v>65</v>
      </c>
      <c r="C9" s="38"/>
      <c r="D9" s="241">
        <f>Assumptions!C15</f>
        <v>40</v>
      </c>
      <c r="E9" s="184">
        <f>Assumptions!D15</f>
        <v>40</v>
      </c>
      <c r="F9" s="184">
        <f>Assumptions!E15</f>
        <v>40</v>
      </c>
      <c r="G9" s="184">
        <f>Assumptions!F15</f>
        <v>40</v>
      </c>
      <c r="H9" s="184">
        <f>Assumptions!G15</f>
        <v>40</v>
      </c>
      <c r="I9" s="184">
        <f>Assumptions!H15</f>
        <v>50</v>
      </c>
      <c r="J9" s="184">
        <f>Assumptions!I15</f>
        <v>50</v>
      </c>
      <c r="K9" s="184">
        <f>Assumptions!J15</f>
        <v>50</v>
      </c>
      <c r="L9" s="184">
        <f>Assumptions!K15</f>
        <v>40</v>
      </c>
      <c r="M9" s="184">
        <f>Assumptions!L15</f>
        <v>40</v>
      </c>
      <c r="N9" s="184">
        <f>Assumptions!M15</f>
        <v>50</v>
      </c>
      <c r="O9" s="184">
        <f>Assumptions!N15</f>
        <v>50</v>
      </c>
      <c r="P9" s="185">
        <f>SUM(D9:O9)</f>
        <v>530</v>
      </c>
      <c r="Q9" s="184">
        <f>Assumptions!O15</f>
        <v>50</v>
      </c>
    </row>
    <row r="10" spans="1:17" x14ac:dyDescent="0.3">
      <c r="B10" s="38" t="s">
        <v>66</v>
      </c>
      <c r="C10" s="38"/>
      <c r="D10" s="242">
        <f>Assumptions!$C$6</f>
        <v>1899</v>
      </c>
      <c r="E10" s="186">
        <f>Assumptions!$C$6</f>
        <v>1899</v>
      </c>
      <c r="F10" s="186">
        <f>Assumptions!$C$6</f>
        <v>1899</v>
      </c>
      <c r="G10" s="186">
        <f>Assumptions!$C$6</f>
        <v>1899</v>
      </c>
      <c r="H10" s="186">
        <f>Assumptions!$C$6</f>
        <v>1899</v>
      </c>
      <c r="I10" s="186">
        <f>Assumptions!$C$6</f>
        <v>1899</v>
      </c>
      <c r="J10" s="186">
        <f>Assumptions!$C$6</f>
        <v>1899</v>
      </c>
      <c r="K10" s="186">
        <f>Assumptions!$C$6</f>
        <v>1899</v>
      </c>
      <c r="L10" s="186">
        <f>Assumptions!$C$6</f>
        <v>1899</v>
      </c>
      <c r="M10" s="186">
        <f>Assumptions!$C$6</f>
        <v>1899</v>
      </c>
      <c r="N10" s="186">
        <f>Assumptions!$C$6</f>
        <v>1899</v>
      </c>
      <c r="O10" s="186">
        <f>Assumptions!$C$6</f>
        <v>1899</v>
      </c>
      <c r="P10" s="187">
        <f>Assumptions!$C$6</f>
        <v>1899</v>
      </c>
      <c r="Q10" s="186">
        <f>Assumptions!$C$6</f>
        <v>1899</v>
      </c>
    </row>
    <row r="11" spans="1:17" s="53" customFormat="1" x14ac:dyDescent="0.3">
      <c r="B11" s="111" t="s">
        <v>67</v>
      </c>
      <c r="C11" s="111"/>
      <c r="D11" s="243">
        <f>D9*D10</f>
        <v>75960</v>
      </c>
      <c r="E11" s="188">
        <f t="shared" ref="E11:Q11" si="1">E9*E10</f>
        <v>75960</v>
      </c>
      <c r="F11" s="188">
        <f t="shared" si="1"/>
        <v>75960</v>
      </c>
      <c r="G11" s="188">
        <f t="shared" si="1"/>
        <v>75960</v>
      </c>
      <c r="H11" s="188">
        <f t="shared" si="1"/>
        <v>75960</v>
      </c>
      <c r="I11" s="188">
        <f t="shared" si="1"/>
        <v>94950</v>
      </c>
      <c r="J11" s="188">
        <f t="shared" si="1"/>
        <v>94950</v>
      </c>
      <c r="K11" s="188">
        <f t="shared" si="1"/>
        <v>94950</v>
      </c>
      <c r="L11" s="188">
        <f t="shared" si="1"/>
        <v>75960</v>
      </c>
      <c r="M11" s="188">
        <f t="shared" si="1"/>
        <v>75960</v>
      </c>
      <c r="N11" s="188">
        <f t="shared" si="1"/>
        <v>94950</v>
      </c>
      <c r="O11" s="188">
        <f t="shared" si="1"/>
        <v>94950</v>
      </c>
      <c r="P11" s="189">
        <f t="shared" si="1"/>
        <v>1006470</v>
      </c>
      <c r="Q11" s="188">
        <f t="shared" si="1"/>
        <v>94950</v>
      </c>
    </row>
    <row r="12" spans="1:17" x14ac:dyDescent="0.3">
      <c r="B12" s="38"/>
      <c r="C12" s="38"/>
      <c r="D12" s="245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91"/>
      <c r="Q12" s="179"/>
    </row>
    <row r="13" spans="1:17" x14ac:dyDescent="0.3">
      <c r="B13" s="42" t="str">
        <f>Assumptions!B16</f>
        <v>Multi-function - MFp 200z</v>
      </c>
      <c r="C13" s="42"/>
      <c r="D13" s="244"/>
      <c r="E13" s="190"/>
      <c r="F13" s="190"/>
      <c r="G13" s="190"/>
      <c r="H13" s="190"/>
      <c r="I13" s="179"/>
      <c r="J13" s="179"/>
      <c r="K13" s="179"/>
      <c r="L13" s="179"/>
      <c r="M13" s="179"/>
      <c r="N13" s="179"/>
      <c r="O13" s="179"/>
      <c r="P13" s="191"/>
      <c r="Q13" s="179"/>
    </row>
    <row r="14" spans="1:17" x14ac:dyDescent="0.3">
      <c r="B14" s="38" t="s">
        <v>65</v>
      </c>
      <c r="C14" s="38"/>
      <c r="D14" s="241">
        <f>Assumptions!C16</f>
        <v>30</v>
      </c>
      <c r="E14" s="184">
        <f>Assumptions!D16</f>
        <v>30</v>
      </c>
      <c r="F14" s="184">
        <f>Assumptions!E16</f>
        <v>30</v>
      </c>
      <c r="G14" s="184">
        <f>Assumptions!F16</f>
        <v>30</v>
      </c>
      <c r="H14" s="184">
        <f>Assumptions!G16</f>
        <v>30</v>
      </c>
      <c r="I14" s="184">
        <f>Assumptions!H16</f>
        <v>40</v>
      </c>
      <c r="J14" s="184">
        <f>Assumptions!I16</f>
        <v>40</v>
      </c>
      <c r="K14" s="184">
        <f>Assumptions!J16</f>
        <v>40</v>
      </c>
      <c r="L14" s="184">
        <f>Assumptions!K16</f>
        <v>30</v>
      </c>
      <c r="M14" s="184">
        <f>Assumptions!L16</f>
        <v>30</v>
      </c>
      <c r="N14" s="184">
        <f>Assumptions!M16</f>
        <v>40</v>
      </c>
      <c r="O14" s="184">
        <f>Assumptions!N16</f>
        <v>40</v>
      </c>
      <c r="P14" s="185">
        <f>SUM(D14:O14)</f>
        <v>410</v>
      </c>
      <c r="Q14" s="184">
        <f>Assumptions!O16</f>
        <v>40</v>
      </c>
    </row>
    <row r="15" spans="1:17" x14ac:dyDescent="0.3">
      <c r="B15" s="38" t="s">
        <v>66</v>
      </c>
      <c r="C15" s="38"/>
      <c r="D15" s="242">
        <f>Assumptions!$C$7</f>
        <v>2999</v>
      </c>
      <c r="E15" s="186">
        <f>Assumptions!$C$7</f>
        <v>2999</v>
      </c>
      <c r="F15" s="186">
        <f>Assumptions!$C$7</f>
        <v>2999</v>
      </c>
      <c r="G15" s="186">
        <f>Assumptions!$C$7</f>
        <v>2999</v>
      </c>
      <c r="H15" s="186">
        <f>Assumptions!$C$7</f>
        <v>2999</v>
      </c>
      <c r="I15" s="186">
        <f>Assumptions!$C$7</f>
        <v>2999</v>
      </c>
      <c r="J15" s="186">
        <f>Assumptions!$C$7</f>
        <v>2999</v>
      </c>
      <c r="K15" s="186">
        <f>Assumptions!$C$7</f>
        <v>2999</v>
      </c>
      <c r="L15" s="186">
        <f>Assumptions!$C$7</f>
        <v>2999</v>
      </c>
      <c r="M15" s="186">
        <f>Assumptions!$C$7</f>
        <v>2999</v>
      </c>
      <c r="N15" s="186">
        <f>Assumptions!$C$7</f>
        <v>2999</v>
      </c>
      <c r="O15" s="186">
        <f>Assumptions!$C$7</f>
        <v>2999</v>
      </c>
      <c r="P15" s="187">
        <f>Assumptions!$C$7</f>
        <v>2999</v>
      </c>
      <c r="Q15" s="186">
        <f>Assumptions!$C$7</f>
        <v>2999</v>
      </c>
    </row>
    <row r="16" spans="1:17" s="53" customFormat="1" x14ac:dyDescent="0.3">
      <c r="B16" s="111" t="s">
        <v>67</v>
      </c>
      <c r="C16" s="111"/>
      <c r="D16" s="243">
        <f>D14*D15</f>
        <v>89970</v>
      </c>
      <c r="E16" s="188">
        <f t="shared" ref="E16:Q16" si="2">E14*E15</f>
        <v>89970</v>
      </c>
      <c r="F16" s="188">
        <f t="shared" si="2"/>
        <v>89970</v>
      </c>
      <c r="G16" s="188">
        <f t="shared" si="2"/>
        <v>89970</v>
      </c>
      <c r="H16" s="188">
        <f t="shared" si="2"/>
        <v>89970</v>
      </c>
      <c r="I16" s="188">
        <f t="shared" si="2"/>
        <v>119960</v>
      </c>
      <c r="J16" s="188">
        <f t="shared" si="2"/>
        <v>119960</v>
      </c>
      <c r="K16" s="188">
        <f t="shared" si="2"/>
        <v>119960</v>
      </c>
      <c r="L16" s="188">
        <f t="shared" si="2"/>
        <v>89970</v>
      </c>
      <c r="M16" s="188">
        <f t="shared" si="2"/>
        <v>89970</v>
      </c>
      <c r="N16" s="188">
        <f t="shared" si="2"/>
        <v>119960</v>
      </c>
      <c r="O16" s="188">
        <f t="shared" si="2"/>
        <v>119960</v>
      </c>
      <c r="P16" s="189">
        <f t="shared" si="2"/>
        <v>1229590</v>
      </c>
      <c r="Q16" s="188">
        <f t="shared" si="2"/>
        <v>119960</v>
      </c>
    </row>
    <row r="17" spans="2:17" x14ac:dyDescent="0.3">
      <c r="B17" s="38"/>
      <c r="C17" s="38"/>
      <c r="D17" s="241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5"/>
      <c r="Q17" s="184"/>
    </row>
    <row r="18" spans="2:17" x14ac:dyDescent="0.3">
      <c r="B18" s="42" t="str">
        <f>Assumptions!B8</f>
        <v>3D printer - RV800</v>
      </c>
      <c r="C18" s="38"/>
      <c r="D18" s="245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91"/>
      <c r="Q18" s="179"/>
    </row>
    <row r="19" spans="2:17" x14ac:dyDescent="0.3">
      <c r="B19" s="38" t="s">
        <v>65</v>
      </c>
      <c r="C19" s="38"/>
      <c r="D19" s="241">
        <f>Assumptions!C17</f>
        <v>10</v>
      </c>
      <c r="E19" s="184">
        <f>Assumptions!D17</f>
        <v>10</v>
      </c>
      <c r="F19" s="184">
        <f>Assumptions!E17</f>
        <v>10</v>
      </c>
      <c r="G19" s="184">
        <f>Assumptions!F17</f>
        <v>10</v>
      </c>
      <c r="H19" s="184">
        <f>Assumptions!G17</f>
        <v>10</v>
      </c>
      <c r="I19" s="184">
        <f>Assumptions!H17</f>
        <v>25</v>
      </c>
      <c r="J19" s="184">
        <f>Assumptions!I17</f>
        <v>25</v>
      </c>
      <c r="K19" s="184">
        <f>Assumptions!J17</f>
        <v>25</v>
      </c>
      <c r="L19" s="184">
        <f>Assumptions!K17</f>
        <v>10</v>
      </c>
      <c r="M19" s="184">
        <f>Assumptions!L17</f>
        <v>10</v>
      </c>
      <c r="N19" s="184">
        <f>Assumptions!M17</f>
        <v>25</v>
      </c>
      <c r="O19" s="184">
        <f>Assumptions!N17</f>
        <v>25</v>
      </c>
      <c r="P19" s="185">
        <f>SUM(D19:O19)</f>
        <v>195</v>
      </c>
      <c r="Q19" s="184">
        <f>Assumptions!O17</f>
        <v>25</v>
      </c>
    </row>
    <row r="20" spans="2:17" x14ac:dyDescent="0.3">
      <c r="B20" s="38" t="s">
        <v>66</v>
      </c>
      <c r="C20" s="38"/>
      <c r="D20" s="242">
        <f>Assumptions!$C$8</f>
        <v>579</v>
      </c>
      <c r="E20" s="186">
        <f>Assumptions!$C$8</f>
        <v>579</v>
      </c>
      <c r="F20" s="186">
        <f>Assumptions!$C$8</f>
        <v>579</v>
      </c>
      <c r="G20" s="186">
        <f>Assumptions!$C$8</f>
        <v>579</v>
      </c>
      <c r="H20" s="186">
        <f>Assumptions!$C$8</f>
        <v>579</v>
      </c>
      <c r="I20" s="186">
        <f>Assumptions!$C$8</f>
        <v>579</v>
      </c>
      <c r="J20" s="186">
        <f>Assumptions!$C$8</f>
        <v>579</v>
      </c>
      <c r="K20" s="186">
        <f>Assumptions!$C$8</f>
        <v>579</v>
      </c>
      <c r="L20" s="186">
        <f>Assumptions!$C$8</f>
        <v>579</v>
      </c>
      <c r="M20" s="186">
        <f>Assumptions!$C$8</f>
        <v>579</v>
      </c>
      <c r="N20" s="186">
        <f>Assumptions!$C$8</f>
        <v>579</v>
      </c>
      <c r="O20" s="186">
        <f>Assumptions!$C$8</f>
        <v>579</v>
      </c>
      <c r="P20" s="187">
        <f>Assumptions!$C$8</f>
        <v>579</v>
      </c>
      <c r="Q20" s="186">
        <f>Assumptions!$C$8</f>
        <v>579</v>
      </c>
    </row>
    <row r="21" spans="2:17" s="53" customFormat="1" x14ac:dyDescent="0.3">
      <c r="B21" s="111" t="s">
        <v>67</v>
      </c>
      <c r="C21" s="111"/>
      <c r="D21" s="243">
        <f>D19*D20</f>
        <v>5790</v>
      </c>
      <c r="E21" s="188">
        <f t="shared" ref="E21:Q21" si="3">E19*E20</f>
        <v>5790</v>
      </c>
      <c r="F21" s="188">
        <f t="shared" si="3"/>
        <v>5790</v>
      </c>
      <c r="G21" s="188">
        <f t="shared" si="3"/>
        <v>5790</v>
      </c>
      <c r="H21" s="188">
        <f t="shared" si="3"/>
        <v>5790</v>
      </c>
      <c r="I21" s="188">
        <f t="shared" si="3"/>
        <v>14475</v>
      </c>
      <c r="J21" s="188">
        <f t="shared" si="3"/>
        <v>14475</v>
      </c>
      <c r="K21" s="188">
        <f t="shared" si="3"/>
        <v>14475</v>
      </c>
      <c r="L21" s="188">
        <f t="shared" si="3"/>
        <v>5790</v>
      </c>
      <c r="M21" s="188">
        <f t="shared" si="3"/>
        <v>5790</v>
      </c>
      <c r="N21" s="188">
        <f t="shared" si="3"/>
        <v>14475</v>
      </c>
      <c r="O21" s="188">
        <f t="shared" si="3"/>
        <v>14475</v>
      </c>
      <c r="P21" s="189">
        <f t="shared" si="3"/>
        <v>112905</v>
      </c>
      <c r="Q21" s="188">
        <f t="shared" si="3"/>
        <v>14475</v>
      </c>
    </row>
    <row r="22" spans="2:17" x14ac:dyDescent="0.3">
      <c r="B22" s="38"/>
      <c r="C22" s="38"/>
      <c r="D22" s="241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5"/>
      <c r="Q22" s="184"/>
    </row>
    <row r="23" spans="2:17" x14ac:dyDescent="0.3">
      <c r="B23" s="42" t="str">
        <f>Assumptions!B9</f>
        <v>Label/barcode printer 6-inch industrial - A200</v>
      </c>
      <c r="C23" s="38"/>
      <c r="D23" s="245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91"/>
      <c r="Q23" s="179"/>
    </row>
    <row r="24" spans="2:17" x14ac:dyDescent="0.3">
      <c r="B24" s="38" t="s">
        <v>65</v>
      </c>
      <c r="C24" s="38"/>
      <c r="D24" s="241">
        <f>Assumptions!C18</f>
        <v>50</v>
      </c>
      <c r="E24" s="184">
        <f>Assumptions!D18</f>
        <v>50</v>
      </c>
      <c r="F24" s="184">
        <f>Assumptions!E18</f>
        <v>50</v>
      </c>
      <c r="G24" s="184">
        <f>Assumptions!F18</f>
        <v>50</v>
      </c>
      <c r="H24" s="184">
        <f>Assumptions!G18</f>
        <v>50</v>
      </c>
      <c r="I24" s="184">
        <f>Assumptions!H18</f>
        <v>60</v>
      </c>
      <c r="J24" s="184">
        <f>Assumptions!I18</f>
        <v>60</v>
      </c>
      <c r="K24" s="184">
        <f>Assumptions!J18</f>
        <v>60</v>
      </c>
      <c r="L24" s="184">
        <f>Assumptions!K18</f>
        <v>50</v>
      </c>
      <c r="M24" s="184">
        <f>Assumptions!L18</f>
        <v>50</v>
      </c>
      <c r="N24" s="184">
        <f>Assumptions!M18</f>
        <v>60</v>
      </c>
      <c r="O24" s="184">
        <f>Assumptions!N18</f>
        <v>60</v>
      </c>
      <c r="P24" s="185">
        <f>SUM(D24:O24)</f>
        <v>650</v>
      </c>
      <c r="Q24" s="184">
        <f>Assumptions!O18</f>
        <v>60</v>
      </c>
    </row>
    <row r="25" spans="2:17" x14ac:dyDescent="0.3">
      <c r="B25" s="38" t="s">
        <v>66</v>
      </c>
      <c r="C25" s="38"/>
      <c r="D25" s="242">
        <f>Assumptions!$C$9</f>
        <v>636</v>
      </c>
      <c r="E25" s="186">
        <f>Assumptions!$C$9</f>
        <v>636</v>
      </c>
      <c r="F25" s="186">
        <f>Assumptions!$C$9</f>
        <v>636</v>
      </c>
      <c r="G25" s="186">
        <f>Assumptions!$C$9</f>
        <v>636</v>
      </c>
      <c r="H25" s="186">
        <f>Assumptions!$C$9</f>
        <v>636</v>
      </c>
      <c r="I25" s="186">
        <f>Assumptions!$C$9</f>
        <v>636</v>
      </c>
      <c r="J25" s="186">
        <f>Assumptions!$C$9</f>
        <v>636</v>
      </c>
      <c r="K25" s="186">
        <f>Assumptions!$C$9</f>
        <v>636</v>
      </c>
      <c r="L25" s="186">
        <f>Assumptions!$C$9</f>
        <v>636</v>
      </c>
      <c r="M25" s="186">
        <f>Assumptions!$C$9</f>
        <v>636</v>
      </c>
      <c r="N25" s="186">
        <f>Assumptions!$C$9</f>
        <v>636</v>
      </c>
      <c r="O25" s="186">
        <f>Assumptions!$C$9</f>
        <v>636</v>
      </c>
      <c r="P25" s="187">
        <f>Assumptions!$C$9</f>
        <v>636</v>
      </c>
      <c r="Q25" s="186">
        <f>Assumptions!$C$9</f>
        <v>636</v>
      </c>
    </row>
    <row r="26" spans="2:17" s="53" customFormat="1" x14ac:dyDescent="0.3">
      <c r="B26" s="111" t="s">
        <v>67</v>
      </c>
      <c r="C26" s="111"/>
      <c r="D26" s="243">
        <f>D24*D25</f>
        <v>31800</v>
      </c>
      <c r="E26" s="188">
        <f t="shared" ref="E26" si="4">E24*E25</f>
        <v>31800</v>
      </c>
      <c r="F26" s="188">
        <f t="shared" ref="F26" si="5">F24*F25</f>
        <v>31800</v>
      </c>
      <c r="G26" s="188">
        <f t="shared" ref="G26" si="6">G24*G25</f>
        <v>31800</v>
      </c>
      <c r="H26" s="188">
        <f t="shared" ref="H26" si="7">H24*H25</f>
        <v>31800</v>
      </c>
      <c r="I26" s="188">
        <f t="shared" ref="I26" si="8">I24*I25</f>
        <v>38160</v>
      </c>
      <c r="J26" s="188">
        <f t="shared" ref="J26" si="9">J24*J25</f>
        <v>38160</v>
      </c>
      <c r="K26" s="188">
        <f t="shared" ref="K26" si="10">K24*K25</f>
        <v>38160</v>
      </c>
      <c r="L26" s="188">
        <f t="shared" ref="L26" si="11">L24*L25</f>
        <v>31800</v>
      </c>
      <c r="M26" s="188">
        <f t="shared" ref="M26" si="12">M24*M25</f>
        <v>31800</v>
      </c>
      <c r="N26" s="188">
        <f t="shared" ref="N26" si="13">N24*N25</f>
        <v>38160</v>
      </c>
      <c r="O26" s="188">
        <f t="shared" ref="O26" si="14">O24*O25</f>
        <v>38160</v>
      </c>
      <c r="P26" s="189">
        <f t="shared" ref="P26" si="15">P24*P25</f>
        <v>413400</v>
      </c>
      <c r="Q26" s="188">
        <f t="shared" ref="Q26" si="16">Q24*Q25</f>
        <v>38160</v>
      </c>
    </row>
    <row r="27" spans="2:17" x14ac:dyDescent="0.3">
      <c r="D27" s="246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</row>
    <row r="28" spans="2:17" s="53" customFormat="1" x14ac:dyDescent="0.3">
      <c r="B28" s="111" t="s">
        <v>68</v>
      </c>
      <c r="C28" s="111"/>
      <c r="D28" s="243">
        <f t="shared" ref="D28:O28" si="17">D6+D11+D16+D21+D26</f>
        <v>249520</v>
      </c>
      <c r="E28" s="188">
        <f t="shared" si="17"/>
        <v>249520</v>
      </c>
      <c r="F28" s="188">
        <f t="shared" si="17"/>
        <v>249520</v>
      </c>
      <c r="G28" s="188">
        <f t="shared" si="17"/>
        <v>249520</v>
      </c>
      <c r="H28" s="188">
        <f t="shared" si="17"/>
        <v>249520</v>
      </c>
      <c r="I28" s="188">
        <f t="shared" si="17"/>
        <v>336545</v>
      </c>
      <c r="J28" s="188">
        <f t="shared" si="17"/>
        <v>336545</v>
      </c>
      <c r="K28" s="188">
        <f t="shared" si="17"/>
        <v>336545</v>
      </c>
      <c r="L28" s="188">
        <f t="shared" si="17"/>
        <v>249520</v>
      </c>
      <c r="M28" s="188">
        <f t="shared" si="17"/>
        <v>249520</v>
      </c>
      <c r="N28" s="188">
        <f t="shared" si="17"/>
        <v>336545</v>
      </c>
      <c r="O28" s="188">
        <f t="shared" si="17"/>
        <v>336545</v>
      </c>
      <c r="P28" s="189">
        <f>P6+P11+P16</f>
        <v>2903060</v>
      </c>
      <c r="Q28" s="188">
        <f>Q6+Q11+Q16+Q21+Q26</f>
        <v>336545</v>
      </c>
    </row>
    <row r="29" spans="2:17" x14ac:dyDescent="0.3">
      <c r="P29" s="52"/>
    </row>
    <row r="30" spans="2:17" ht="15.6" x14ac:dyDescent="0.3">
      <c r="B30" s="301" t="s">
        <v>195</v>
      </c>
      <c r="C30" s="302"/>
      <c r="D30" s="98" t="str">
        <f>Assumptions!$C$12</f>
        <v>Jul</v>
      </c>
      <c r="E30" s="98" t="str">
        <f>Assumptions!$D$12</f>
        <v>Aug</v>
      </c>
      <c r="F30" s="98" t="str">
        <f>Assumptions!$E$12</f>
        <v>Sep</v>
      </c>
      <c r="G30" s="98" t="str">
        <f>Assumptions!$F$12</f>
        <v>Oct</v>
      </c>
      <c r="H30" s="98" t="str">
        <f>Assumptions!$G$12</f>
        <v>Nov</v>
      </c>
      <c r="I30" s="98" t="str">
        <f>Assumptions!$H$12</f>
        <v>Dec</v>
      </c>
      <c r="J30" s="98" t="str">
        <f>Assumptions!$I$12</f>
        <v>Jan</v>
      </c>
      <c r="K30" s="98" t="str">
        <f>Assumptions!$J$12</f>
        <v>Feb</v>
      </c>
      <c r="L30" s="98" t="str">
        <f>Assumptions!$K$12</f>
        <v>Mar</v>
      </c>
      <c r="M30" s="98" t="str">
        <f>Assumptions!$L$12</f>
        <v>Apr</v>
      </c>
      <c r="N30" s="98" t="str">
        <f>Assumptions!$M$12</f>
        <v>May</v>
      </c>
      <c r="O30" s="98" t="str">
        <f>Assumptions!$N$12</f>
        <v>Jun</v>
      </c>
      <c r="P30" s="98" t="s">
        <v>18</v>
      </c>
    </row>
    <row r="31" spans="2:17" s="38" customFormat="1" x14ac:dyDescent="0.3">
      <c r="B31" s="38" t="s">
        <v>134</v>
      </c>
      <c r="D31" s="240">
        <f>53000</f>
        <v>53000</v>
      </c>
      <c r="E31" s="178">
        <f>D36</f>
        <v>119769.59999999999</v>
      </c>
      <c r="F31" s="178">
        <f t="shared" ref="F31:O31" si="18">E36</f>
        <v>119769.59999999999</v>
      </c>
      <c r="G31" s="178">
        <f t="shared" si="18"/>
        <v>119769.59999999999</v>
      </c>
      <c r="H31" s="178">
        <f t="shared" si="18"/>
        <v>119769.59999999999</v>
      </c>
      <c r="I31" s="178">
        <f t="shared" si="18"/>
        <v>119769.59999999999</v>
      </c>
      <c r="J31" s="178">
        <f t="shared" si="18"/>
        <v>161541.6</v>
      </c>
      <c r="K31" s="178">
        <f t="shared" si="18"/>
        <v>161541.6</v>
      </c>
      <c r="L31" s="178">
        <f t="shared" si="18"/>
        <v>161541.6</v>
      </c>
      <c r="M31" s="178">
        <f t="shared" si="18"/>
        <v>119769.59999999999</v>
      </c>
      <c r="N31" s="178">
        <f t="shared" si="18"/>
        <v>119769.59999999999</v>
      </c>
      <c r="O31" s="178">
        <f t="shared" si="18"/>
        <v>161541.6</v>
      </c>
      <c r="P31" s="179">
        <f>D31</f>
        <v>53000</v>
      </c>
      <c r="Q31" s="35"/>
    </row>
    <row r="32" spans="2:17" s="38" customFormat="1" x14ac:dyDescent="0.3">
      <c r="B32" s="38" t="s">
        <v>131</v>
      </c>
      <c r="C32" s="45">
        <f>Assumptions!C21</f>
        <v>0.2</v>
      </c>
      <c r="D32" s="240">
        <f>$C$32*D28</f>
        <v>49904</v>
      </c>
      <c r="E32" s="178">
        <f t="shared" ref="E32:O32" si="19">$C$32*E28</f>
        <v>49904</v>
      </c>
      <c r="F32" s="178">
        <f t="shared" si="19"/>
        <v>49904</v>
      </c>
      <c r="G32" s="178">
        <f t="shared" si="19"/>
        <v>49904</v>
      </c>
      <c r="H32" s="178">
        <f t="shared" si="19"/>
        <v>49904</v>
      </c>
      <c r="I32" s="178">
        <f t="shared" si="19"/>
        <v>67309</v>
      </c>
      <c r="J32" s="178">
        <f t="shared" si="19"/>
        <v>67309</v>
      </c>
      <c r="K32" s="178">
        <f t="shared" si="19"/>
        <v>67309</v>
      </c>
      <c r="L32" s="178">
        <f t="shared" si="19"/>
        <v>49904</v>
      </c>
      <c r="M32" s="178">
        <f t="shared" si="19"/>
        <v>49904</v>
      </c>
      <c r="N32" s="178">
        <f t="shared" si="19"/>
        <v>67309</v>
      </c>
      <c r="O32" s="178">
        <f t="shared" si="19"/>
        <v>67309</v>
      </c>
      <c r="P32" s="179">
        <f>SUM(D32:O32)</f>
        <v>685873</v>
      </c>
      <c r="Q32" s="35"/>
    </row>
    <row r="33" spans="2:17" s="38" customFormat="1" x14ac:dyDescent="0.3">
      <c r="B33" s="38" t="s">
        <v>132</v>
      </c>
      <c r="C33" s="45">
        <f>Assumptions!C22*Assumptions!D23</f>
        <v>0.32000000000000006</v>
      </c>
      <c r="D33" s="247">
        <f>$C$33*D28</f>
        <v>79846.400000000009</v>
      </c>
      <c r="E33" s="180">
        <f t="shared" ref="E33:O33" si="20">$C$33*E28</f>
        <v>79846.400000000009</v>
      </c>
      <c r="F33" s="180">
        <f t="shared" si="20"/>
        <v>79846.400000000009</v>
      </c>
      <c r="G33" s="180">
        <f t="shared" si="20"/>
        <v>79846.400000000009</v>
      </c>
      <c r="H33" s="180">
        <f t="shared" si="20"/>
        <v>79846.400000000009</v>
      </c>
      <c r="I33" s="180">
        <f t="shared" si="20"/>
        <v>107694.40000000002</v>
      </c>
      <c r="J33" s="180">
        <f t="shared" si="20"/>
        <v>107694.40000000002</v>
      </c>
      <c r="K33" s="180">
        <f t="shared" si="20"/>
        <v>107694.40000000002</v>
      </c>
      <c r="L33" s="180">
        <f t="shared" si="20"/>
        <v>79846.400000000009</v>
      </c>
      <c r="M33" s="180">
        <f t="shared" si="20"/>
        <v>79846.400000000009</v>
      </c>
      <c r="N33" s="180">
        <f t="shared" si="20"/>
        <v>107694.40000000002</v>
      </c>
      <c r="O33" s="180">
        <f t="shared" si="20"/>
        <v>107694.40000000002</v>
      </c>
      <c r="P33" s="179">
        <f>SUM(D33:O33)</f>
        <v>1097396.8000000003</v>
      </c>
      <c r="Q33" s="35"/>
    </row>
    <row r="34" spans="2:17" s="38" customFormat="1" x14ac:dyDescent="0.3">
      <c r="B34" s="39" t="s">
        <v>133</v>
      </c>
      <c r="D34" s="248">
        <f>SUM(D31:D33)</f>
        <v>182750.40000000002</v>
      </c>
      <c r="E34" s="181">
        <f t="shared" ref="E34:P34" si="21">SUM(E31:E33)</f>
        <v>249520</v>
      </c>
      <c r="F34" s="181">
        <f t="shared" si="21"/>
        <v>249520</v>
      </c>
      <c r="G34" s="181">
        <f t="shared" si="21"/>
        <v>249520</v>
      </c>
      <c r="H34" s="181">
        <f t="shared" si="21"/>
        <v>249520</v>
      </c>
      <c r="I34" s="181">
        <f t="shared" si="21"/>
        <v>294773</v>
      </c>
      <c r="J34" s="181">
        <f t="shared" si="21"/>
        <v>336545</v>
      </c>
      <c r="K34" s="181">
        <f t="shared" si="21"/>
        <v>336545</v>
      </c>
      <c r="L34" s="181">
        <f t="shared" si="21"/>
        <v>291292</v>
      </c>
      <c r="M34" s="181">
        <f t="shared" si="21"/>
        <v>249520</v>
      </c>
      <c r="N34" s="181">
        <f t="shared" si="21"/>
        <v>294773</v>
      </c>
      <c r="O34" s="181">
        <f t="shared" si="21"/>
        <v>336545</v>
      </c>
      <c r="P34" s="181">
        <f t="shared" si="21"/>
        <v>1836269.8000000003</v>
      </c>
      <c r="Q34" s="35"/>
    </row>
    <row r="35" spans="2:17" s="38" customFormat="1" x14ac:dyDescent="0.3">
      <c r="B35" s="39"/>
      <c r="D35" s="249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3"/>
      <c r="Q35" s="35"/>
    </row>
    <row r="36" spans="2:17" s="38" customFormat="1" x14ac:dyDescent="0.3">
      <c r="B36" s="38" t="s">
        <v>69</v>
      </c>
      <c r="C36" s="113">
        <f>Assumptions!C22*Assumptions!D24</f>
        <v>0.48</v>
      </c>
      <c r="D36" s="240">
        <f>D28*$C$36</f>
        <v>119769.59999999999</v>
      </c>
      <c r="E36" s="178">
        <f>E28*$C$36</f>
        <v>119769.59999999999</v>
      </c>
      <c r="F36" s="178">
        <f t="shared" ref="F36:O36" si="22">F28*$C$36</f>
        <v>119769.59999999999</v>
      </c>
      <c r="G36" s="178">
        <f t="shared" si="22"/>
        <v>119769.59999999999</v>
      </c>
      <c r="H36" s="178">
        <f t="shared" si="22"/>
        <v>119769.59999999999</v>
      </c>
      <c r="I36" s="178">
        <f t="shared" si="22"/>
        <v>161541.6</v>
      </c>
      <c r="J36" s="178">
        <f t="shared" si="22"/>
        <v>161541.6</v>
      </c>
      <c r="K36" s="178">
        <f t="shared" si="22"/>
        <v>161541.6</v>
      </c>
      <c r="L36" s="178">
        <f t="shared" si="22"/>
        <v>119769.59999999999</v>
      </c>
      <c r="M36" s="178">
        <f t="shared" si="22"/>
        <v>119769.59999999999</v>
      </c>
      <c r="N36" s="178">
        <f t="shared" si="22"/>
        <v>161541.6</v>
      </c>
      <c r="O36" s="178">
        <f t="shared" si="22"/>
        <v>161541.6</v>
      </c>
      <c r="P36" s="179"/>
      <c r="Q36" s="35"/>
    </row>
    <row r="37" spans="2:17" x14ac:dyDescent="0.3"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5"/>
      <c r="Q37" s="55"/>
    </row>
    <row r="38" spans="2:17" x14ac:dyDescent="0.3">
      <c r="B38" s="109" t="s">
        <v>135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5"/>
      <c r="Q38" s="55"/>
    </row>
    <row r="39" spans="2:17" x14ac:dyDescent="0.3"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5"/>
      <c r="Q39" s="55"/>
    </row>
    <row r="40" spans="2:17" x14ac:dyDescent="0.3"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5"/>
      <c r="Q40" s="55"/>
    </row>
    <row r="41" spans="2:17" x14ac:dyDescent="0.3"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5"/>
      <c r="Q41" s="55"/>
    </row>
  </sheetData>
  <mergeCells count="6">
    <mergeCell ref="N1:O1"/>
    <mergeCell ref="B2:C2"/>
    <mergeCell ref="B30:C30"/>
    <mergeCell ref="D1:H1"/>
    <mergeCell ref="I1:K1"/>
    <mergeCell ref="L1:M1"/>
  </mergeCells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3473-D17A-41C6-89E7-994AF12EE723}">
  <sheetPr>
    <pageSetUpPr fitToPage="1"/>
  </sheetPr>
  <dimension ref="A2:S91"/>
  <sheetViews>
    <sheetView topLeftCell="A16" zoomScaleNormal="100" workbookViewId="0">
      <selection activeCell="Q38" sqref="Q38"/>
    </sheetView>
  </sheetViews>
  <sheetFormatPr defaultColWidth="9.109375" defaultRowHeight="14.4" x14ac:dyDescent="0.3"/>
  <cols>
    <col min="1" max="1" width="5.109375" style="35" customWidth="1"/>
    <col min="2" max="2" width="32" style="35" customWidth="1"/>
    <col min="3" max="3" width="3.77734375" style="35" customWidth="1"/>
    <col min="4" max="18" width="5.77734375" style="35" customWidth="1"/>
    <col min="19" max="16384" width="9.109375" style="35"/>
  </cols>
  <sheetData>
    <row r="2" spans="1:19" ht="15.6" x14ac:dyDescent="0.3">
      <c r="B2" s="301" t="str">
        <f>Cover!C12</f>
        <v xml:space="preserve">Production Budget </v>
      </c>
      <c r="C2" s="302"/>
      <c r="D2" s="114" t="str">
        <f>Assumptions!C12</f>
        <v>Jul</v>
      </c>
      <c r="E2" s="114" t="str">
        <f>Assumptions!D12</f>
        <v>Aug</v>
      </c>
      <c r="F2" s="114" t="str">
        <f>Assumptions!E12</f>
        <v>Sep</v>
      </c>
      <c r="G2" s="114" t="str">
        <f>Assumptions!F12</f>
        <v>Oct</v>
      </c>
      <c r="H2" s="114" t="str">
        <f>Assumptions!G12</f>
        <v>Nov</v>
      </c>
      <c r="I2" s="114" t="str">
        <f>Assumptions!H12</f>
        <v>Dec</v>
      </c>
      <c r="J2" s="114" t="str">
        <f>Assumptions!I12</f>
        <v>Jan</v>
      </c>
      <c r="K2" s="114" t="str">
        <f>Assumptions!J12</f>
        <v>Feb</v>
      </c>
      <c r="L2" s="114" t="str">
        <f>Assumptions!K12</f>
        <v>Mar</v>
      </c>
      <c r="M2" s="114" t="str">
        <f>Assumptions!L12</f>
        <v>Apr</v>
      </c>
      <c r="N2" s="114" t="str">
        <f>Assumptions!M12</f>
        <v>May</v>
      </c>
      <c r="O2" s="114" t="str">
        <f>Assumptions!N12</f>
        <v>Jun</v>
      </c>
      <c r="P2" s="114" t="s">
        <v>18</v>
      </c>
      <c r="Q2" s="234" t="e">
        <f>#REF!</f>
        <v>#REF!</v>
      </c>
      <c r="R2" s="234" t="s">
        <v>102</v>
      </c>
    </row>
    <row r="3" spans="1:19" x14ac:dyDescent="0.3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9" x14ac:dyDescent="0.3">
      <c r="A4" s="68"/>
      <c r="B4" s="305" t="str">
        <f>Assumptions!B5</f>
        <v>Photocopier - Kyco 809 ci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7"/>
      <c r="S4" s="69"/>
    </row>
    <row r="5" spans="1:19" x14ac:dyDescent="0.3">
      <c r="A5" s="68"/>
      <c r="B5" s="90" t="s">
        <v>65</v>
      </c>
      <c r="C5" s="90"/>
      <c r="D5" s="117">
        <f>Assumptions!C14</f>
        <v>20</v>
      </c>
      <c r="E5" s="250">
        <f>Assumptions!D14</f>
        <v>20</v>
      </c>
      <c r="F5" s="250">
        <f>Assumptions!E14</f>
        <v>20</v>
      </c>
      <c r="G5" s="250">
        <f>Assumptions!F14</f>
        <v>20</v>
      </c>
      <c r="H5" s="250">
        <f>Assumptions!G14</f>
        <v>20</v>
      </c>
      <c r="I5" s="250">
        <f>Assumptions!H14</f>
        <v>30</v>
      </c>
      <c r="J5" s="250">
        <f>Assumptions!I14</f>
        <v>30</v>
      </c>
      <c r="K5" s="250">
        <f>Assumptions!J14</f>
        <v>30</v>
      </c>
      <c r="L5" s="250">
        <f>Assumptions!K14</f>
        <v>20</v>
      </c>
      <c r="M5" s="250">
        <f>Assumptions!L14</f>
        <v>20</v>
      </c>
      <c r="N5" s="250">
        <f>Assumptions!M14</f>
        <v>30</v>
      </c>
      <c r="O5" s="250">
        <f>Assumptions!N14</f>
        <v>30</v>
      </c>
      <c r="P5" s="118">
        <f>SUM(D5:O5)</f>
        <v>290</v>
      </c>
      <c r="Q5" s="252">
        <f>Assumptions!O14</f>
        <v>30</v>
      </c>
      <c r="R5" s="252">
        <f>Assumptions!P14</f>
        <v>20</v>
      </c>
    </row>
    <row r="6" spans="1:19" x14ac:dyDescent="0.3">
      <c r="A6" s="68"/>
      <c r="B6" s="119" t="s">
        <v>136</v>
      </c>
      <c r="C6" s="120">
        <f>Assumptions!$C$31</f>
        <v>0.5</v>
      </c>
      <c r="D6" s="121">
        <f>E5*$C$6</f>
        <v>10</v>
      </c>
      <c r="E6" s="251">
        <f>F5*$C$6</f>
        <v>10</v>
      </c>
      <c r="F6" s="251">
        <f t="shared" ref="F6:N6" si="0">G5*$C$6</f>
        <v>10</v>
      </c>
      <c r="G6" s="251">
        <f t="shared" si="0"/>
        <v>10</v>
      </c>
      <c r="H6" s="251">
        <f t="shared" si="0"/>
        <v>15</v>
      </c>
      <c r="I6" s="251">
        <f t="shared" si="0"/>
        <v>15</v>
      </c>
      <c r="J6" s="251">
        <f t="shared" si="0"/>
        <v>15</v>
      </c>
      <c r="K6" s="251">
        <f t="shared" si="0"/>
        <v>10</v>
      </c>
      <c r="L6" s="251">
        <f t="shared" si="0"/>
        <v>10</v>
      </c>
      <c r="M6" s="251">
        <f t="shared" si="0"/>
        <v>15</v>
      </c>
      <c r="N6" s="251">
        <f t="shared" si="0"/>
        <v>15</v>
      </c>
      <c r="O6" s="251">
        <f>Q5*$C$6</f>
        <v>15</v>
      </c>
      <c r="P6" s="123">
        <f>O6</f>
        <v>15</v>
      </c>
      <c r="Q6" s="122">
        <f>R5*$C$6</f>
        <v>10</v>
      </c>
      <c r="R6" s="122"/>
    </row>
    <row r="7" spans="1:19" x14ac:dyDescent="0.3">
      <c r="A7" s="68"/>
      <c r="B7" s="90" t="s">
        <v>70</v>
      </c>
      <c r="C7" s="90"/>
      <c r="D7" s="122">
        <f>SUM(D5:D6)</f>
        <v>30</v>
      </c>
      <c r="E7" s="251">
        <f>SUM(E5:E6)</f>
        <v>30</v>
      </c>
      <c r="F7" s="251">
        <f t="shared" ref="F7:Q7" si="1">SUM(F5:F6)</f>
        <v>30</v>
      </c>
      <c r="G7" s="251">
        <f t="shared" si="1"/>
        <v>30</v>
      </c>
      <c r="H7" s="251">
        <f t="shared" si="1"/>
        <v>35</v>
      </c>
      <c r="I7" s="251">
        <f t="shared" si="1"/>
        <v>45</v>
      </c>
      <c r="J7" s="251">
        <f t="shared" si="1"/>
        <v>45</v>
      </c>
      <c r="K7" s="251">
        <f t="shared" si="1"/>
        <v>40</v>
      </c>
      <c r="L7" s="251">
        <f t="shared" si="1"/>
        <v>30</v>
      </c>
      <c r="M7" s="251">
        <f t="shared" si="1"/>
        <v>35</v>
      </c>
      <c r="N7" s="251">
        <f t="shared" si="1"/>
        <v>45</v>
      </c>
      <c r="O7" s="251">
        <f t="shared" si="1"/>
        <v>45</v>
      </c>
      <c r="P7" s="123">
        <f t="shared" si="1"/>
        <v>305</v>
      </c>
      <c r="Q7" s="122">
        <f t="shared" si="1"/>
        <v>40</v>
      </c>
      <c r="R7" s="122"/>
    </row>
    <row r="8" spans="1:19" x14ac:dyDescent="0.3">
      <c r="A8" s="68"/>
      <c r="B8" s="90" t="s">
        <v>71</v>
      </c>
      <c r="C8" s="90"/>
      <c r="D8" s="124">
        <f>D5*$C$6</f>
        <v>10</v>
      </c>
      <c r="E8" s="251">
        <f>D6</f>
        <v>10</v>
      </c>
      <c r="F8" s="251">
        <f t="shared" ref="F8:O8" si="2">E6</f>
        <v>10</v>
      </c>
      <c r="G8" s="251">
        <f t="shared" si="2"/>
        <v>10</v>
      </c>
      <c r="H8" s="251">
        <f t="shared" si="2"/>
        <v>10</v>
      </c>
      <c r="I8" s="251">
        <f t="shared" si="2"/>
        <v>15</v>
      </c>
      <c r="J8" s="251">
        <f t="shared" si="2"/>
        <v>15</v>
      </c>
      <c r="K8" s="251">
        <f t="shared" si="2"/>
        <v>15</v>
      </c>
      <c r="L8" s="251">
        <f t="shared" si="2"/>
        <v>10</v>
      </c>
      <c r="M8" s="251">
        <f t="shared" si="2"/>
        <v>10</v>
      </c>
      <c r="N8" s="251">
        <f t="shared" si="2"/>
        <v>15</v>
      </c>
      <c r="O8" s="251">
        <f t="shared" si="2"/>
        <v>15</v>
      </c>
      <c r="P8" s="123">
        <f>D8</f>
        <v>10</v>
      </c>
      <c r="Q8" s="122">
        <f>O6</f>
        <v>15</v>
      </c>
      <c r="R8" s="122"/>
    </row>
    <row r="9" spans="1:19" s="53" customFormat="1" x14ac:dyDescent="0.3">
      <c r="A9" s="115"/>
      <c r="B9" s="125" t="s">
        <v>76</v>
      </c>
      <c r="C9" s="125"/>
      <c r="D9" s="126">
        <f>D7-D8</f>
        <v>20</v>
      </c>
      <c r="E9" s="127">
        <f>E7-E8</f>
        <v>20</v>
      </c>
      <c r="F9" s="127">
        <f t="shared" ref="F9:Q9" si="3">F7-F8</f>
        <v>20</v>
      </c>
      <c r="G9" s="127">
        <f t="shared" si="3"/>
        <v>20</v>
      </c>
      <c r="H9" s="127">
        <f t="shared" si="3"/>
        <v>25</v>
      </c>
      <c r="I9" s="127">
        <f t="shared" si="3"/>
        <v>30</v>
      </c>
      <c r="J9" s="127">
        <f t="shared" si="3"/>
        <v>30</v>
      </c>
      <c r="K9" s="127">
        <f t="shared" si="3"/>
        <v>25</v>
      </c>
      <c r="L9" s="127">
        <f t="shared" si="3"/>
        <v>20</v>
      </c>
      <c r="M9" s="127">
        <f t="shared" si="3"/>
        <v>25</v>
      </c>
      <c r="N9" s="127">
        <f t="shared" si="3"/>
        <v>30</v>
      </c>
      <c r="O9" s="127">
        <f t="shared" si="3"/>
        <v>30</v>
      </c>
      <c r="P9" s="128">
        <f t="shared" si="3"/>
        <v>295</v>
      </c>
      <c r="Q9" s="127">
        <f t="shared" si="3"/>
        <v>25</v>
      </c>
      <c r="R9" s="127"/>
    </row>
    <row r="10" spans="1:19" x14ac:dyDescent="0.3">
      <c r="B10" s="97"/>
      <c r="C10" s="97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254"/>
      <c r="Q10" s="140"/>
      <c r="R10" s="97"/>
    </row>
    <row r="11" spans="1:19" x14ac:dyDescent="0.3">
      <c r="B11" s="305" t="str">
        <f>Assumptions!B6</f>
        <v>Photocopier - Monochrome MZ300</v>
      </c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7"/>
      <c r="S11" s="69"/>
    </row>
    <row r="12" spans="1:19" x14ac:dyDescent="0.3">
      <c r="B12" s="90" t="s">
        <v>65</v>
      </c>
      <c r="C12" s="90"/>
      <c r="D12" s="117">
        <f>Assumptions!C15</f>
        <v>40</v>
      </c>
      <c r="E12" s="250">
        <f>Assumptions!D15</f>
        <v>40</v>
      </c>
      <c r="F12" s="250">
        <f>Assumptions!E15</f>
        <v>40</v>
      </c>
      <c r="G12" s="250">
        <f>Assumptions!F15</f>
        <v>40</v>
      </c>
      <c r="H12" s="250">
        <f>Assumptions!G15</f>
        <v>40</v>
      </c>
      <c r="I12" s="250">
        <f>Assumptions!H15</f>
        <v>50</v>
      </c>
      <c r="J12" s="250">
        <f>Assumptions!I15</f>
        <v>50</v>
      </c>
      <c r="K12" s="250">
        <f>Assumptions!J15</f>
        <v>50</v>
      </c>
      <c r="L12" s="250">
        <f>Assumptions!K15</f>
        <v>40</v>
      </c>
      <c r="M12" s="250">
        <f>Assumptions!L15</f>
        <v>40</v>
      </c>
      <c r="N12" s="250">
        <f>Assumptions!M15</f>
        <v>50</v>
      </c>
      <c r="O12" s="250">
        <f>Assumptions!N15</f>
        <v>50</v>
      </c>
      <c r="P12" s="118">
        <f>SUM(D12:O12)</f>
        <v>530</v>
      </c>
      <c r="Q12" s="252">
        <f>Assumptions!O15</f>
        <v>50</v>
      </c>
      <c r="R12" s="252">
        <f>Assumptions!P15</f>
        <v>40</v>
      </c>
    </row>
    <row r="13" spans="1:19" x14ac:dyDescent="0.3">
      <c r="B13" s="119" t="s">
        <v>136</v>
      </c>
      <c r="C13" s="120">
        <f>Assumptions!$C$31</f>
        <v>0.5</v>
      </c>
      <c r="D13" s="121">
        <f>E12*$C$6</f>
        <v>20</v>
      </c>
      <c r="E13" s="251">
        <f>F12*$C$6</f>
        <v>20</v>
      </c>
      <c r="F13" s="251">
        <f t="shared" ref="F13:N13" si="4">G12*$C$6</f>
        <v>20</v>
      </c>
      <c r="G13" s="251">
        <f t="shared" si="4"/>
        <v>20</v>
      </c>
      <c r="H13" s="251">
        <f t="shared" si="4"/>
        <v>25</v>
      </c>
      <c r="I13" s="251">
        <f t="shared" si="4"/>
        <v>25</v>
      </c>
      <c r="J13" s="251">
        <f t="shared" si="4"/>
        <v>25</v>
      </c>
      <c r="K13" s="251">
        <f t="shared" si="4"/>
        <v>20</v>
      </c>
      <c r="L13" s="251">
        <f t="shared" si="4"/>
        <v>20</v>
      </c>
      <c r="M13" s="251">
        <f t="shared" si="4"/>
        <v>25</v>
      </c>
      <c r="N13" s="251">
        <f t="shared" si="4"/>
        <v>25</v>
      </c>
      <c r="O13" s="251">
        <f>Q12*$C$6</f>
        <v>25</v>
      </c>
      <c r="P13" s="123">
        <f>O13</f>
        <v>25</v>
      </c>
      <c r="Q13" s="122">
        <f t="shared" ref="Q13" si="5">R12*$C$6</f>
        <v>20</v>
      </c>
      <c r="R13" s="122"/>
    </row>
    <row r="14" spans="1:19" x14ac:dyDescent="0.3">
      <c r="B14" s="90" t="s">
        <v>70</v>
      </c>
      <c r="C14" s="90"/>
      <c r="D14" s="122">
        <f>SUM(D12:D13)</f>
        <v>60</v>
      </c>
      <c r="E14" s="251">
        <f>SUM(E12:E13)</f>
        <v>60</v>
      </c>
      <c r="F14" s="251">
        <f t="shared" ref="F14:Q14" si="6">SUM(F12:F13)</f>
        <v>60</v>
      </c>
      <c r="G14" s="251">
        <f t="shared" si="6"/>
        <v>60</v>
      </c>
      <c r="H14" s="251">
        <f t="shared" si="6"/>
        <v>65</v>
      </c>
      <c r="I14" s="251">
        <f t="shared" si="6"/>
        <v>75</v>
      </c>
      <c r="J14" s="251">
        <f t="shared" si="6"/>
        <v>75</v>
      </c>
      <c r="K14" s="251">
        <f t="shared" si="6"/>
        <v>70</v>
      </c>
      <c r="L14" s="251">
        <f t="shared" si="6"/>
        <v>60</v>
      </c>
      <c r="M14" s="251">
        <f t="shared" si="6"/>
        <v>65</v>
      </c>
      <c r="N14" s="251">
        <f t="shared" si="6"/>
        <v>75</v>
      </c>
      <c r="O14" s="251">
        <f t="shared" si="6"/>
        <v>75</v>
      </c>
      <c r="P14" s="123">
        <f t="shared" si="6"/>
        <v>555</v>
      </c>
      <c r="Q14" s="122">
        <f t="shared" si="6"/>
        <v>70</v>
      </c>
      <c r="R14" s="122"/>
    </row>
    <row r="15" spans="1:19" x14ac:dyDescent="0.3">
      <c r="B15" s="90" t="s">
        <v>71</v>
      </c>
      <c r="C15" s="90"/>
      <c r="D15" s="124">
        <f>D12*$C$6</f>
        <v>20</v>
      </c>
      <c r="E15" s="251">
        <f>D13</f>
        <v>20</v>
      </c>
      <c r="F15" s="251">
        <f t="shared" ref="F15:O15" si="7">E13</f>
        <v>20</v>
      </c>
      <c r="G15" s="251">
        <f t="shared" si="7"/>
        <v>20</v>
      </c>
      <c r="H15" s="251">
        <f t="shared" si="7"/>
        <v>20</v>
      </c>
      <c r="I15" s="251">
        <f t="shared" si="7"/>
        <v>25</v>
      </c>
      <c r="J15" s="251">
        <f t="shared" si="7"/>
        <v>25</v>
      </c>
      <c r="K15" s="251">
        <f t="shared" si="7"/>
        <v>25</v>
      </c>
      <c r="L15" s="251">
        <f t="shared" si="7"/>
        <v>20</v>
      </c>
      <c r="M15" s="251">
        <f t="shared" si="7"/>
        <v>20</v>
      </c>
      <c r="N15" s="251">
        <f t="shared" si="7"/>
        <v>25</v>
      </c>
      <c r="O15" s="251">
        <f t="shared" si="7"/>
        <v>25</v>
      </c>
      <c r="P15" s="123">
        <f>D15</f>
        <v>20</v>
      </c>
      <c r="Q15" s="122">
        <f>O13</f>
        <v>25</v>
      </c>
      <c r="R15" s="122"/>
    </row>
    <row r="16" spans="1:19" s="53" customFormat="1" x14ac:dyDescent="0.3">
      <c r="B16" s="125" t="s">
        <v>76</v>
      </c>
      <c r="C16" s="125"/>
      <c r="D16" s="126">
        <f>D14-D15</f>
        <v>40</v>
      </c>
      <c r="E16" s="127">
        <f>E14-E15</f>
        <v>40</v>
      </c>
      <c r="F16" s="127">
        <f t="shared" ref="F16:Q16" si="8">F14-F15</f>
        <v>40</v>
      </c>
      <c r="G16" s="127">
        <f t="shared" si="8"/>
        <v>40</v>
      </c>
      <c r="H16" s="127">
        <f t="shared" si="8"/>
        <v>45</v>
      </c>
      <c r="I16" s="127">
        <f t="shared" si="8"/>
        <v>50</v>
      </c>
      <c r="J16" s="127">
        <f t="shared" si="8"/>
        <v>50</v>
      </c>
      <c r="K16" s="127">
        <f t="shared" si="8"/>
        <v>45</v>
      </c>
      <c r="L16" s="127">
        <f t="shared" si="8"/>
        <v>40</v>
      </c>
      <c r="M16" s="127">
        <f t="shared" si="8"/>
        <v>45</v>
      </c>
      <c r="N16" s="127">
        <f t="shared" si="8"/>
        <v>50</v>
      </c>
      <c r="O16" s="127">
        <f t="shared" si="8"/>
        <v>50</v>
      </c>
      <c r="P16" s="128">
        <f t="shared" si="8"/>
        <v>535</v>
      </c>
      <c r="Q16" s="127">
        <f t="shared" si="8"/>
        <v>45</v>
      </c>
      <c r="R16" s="127"/>
    </row>
    <row r="17" spans="2:19" x14ac:dyDescent="0.3"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254"/>
      <c r="Q17" s="84"/>
      <c r="R17" s="84"/>
    </row>
    <row r="18" spans="2:19" x14ac:dyDescent="0.3">
      <c r="B18" s="305" t="str">
        <f>Assumptions!B7</f>
        <v>Multi-function - MFp 200z</v>
      </c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7"/>
      <c r="S18" s="69"/>
    </row>
    <row r="19" spans="2:19" x14ac:dyDescent="0.3">
      <c r="B19" s="90" t="s">
        <v>65</v>
      </c>
      <c r="C19" s="90"/>
      <c r="D19" s="117">
        <f>Assumptions!C16</f>
        <v>30</v>
      </c>
      <c r="E19" s="250">
        <f>Assumptions!D16</f>
        <v>30</v>
      </c>
      <c r="F19" s="250">
        <f>Assumptions!E16</f>
        <v>30</v>
      </c>
      <c r="G19" s="250">
        <f>Assumptions!F16</f>
        <v>30</v>
      </c>
      <c r="H19" s="250">
        <f>Assumptions!G16</f>
        <v>30</v>
      </c>
      <c r="I19" s="250">
        <f>Assumptions!H16</f>
        <v>40</v>
      </c>
      <c r="J19" s="250">
        <f>Assumptions!I16</f>
        <v>40</v>
      </c>
      <c r="K19" s="250">
        <f>Assumptions!J16</f>
        <v>40</v>
      </c>
      <c r="L19" s="250">
        <f>Assumptions!K16</f>
        <v>30</v>
      </c>
      <c r="M19" s="250">
        <f>Assumptions!L16</f>
        <v>30</v>
      </c>
      <c r="N19" s="250">
        <f>Assumptions!M16</f>
        <v>40</v>
      </c>
      <c r="O19" s="250">
        <f>Assumptions!N16</f>
        <v>40</v>
      </c>
      <c r="P19" s="118">
        <f>SUM(D19:O19)</f>
        <v>410</v>
      </c>
      <c r="Q19" s="252">
        <f>Assumptions!O16</f>
        <v>40</v>
      </c>
      <c r="R19" s="252">
        <f>Assumptions!P16</f>
        <v>30</v>
      </c>
    </row>
    <row r="20" spans="2:19" x14ac:dyDescent="0.3">
      <c r="B20" s="119" t="s">
        <v>136</v>
      </c>
      <c r="C20" s="120">
        <f>Assumptions!$C$31</f>
        <v>0.5</v>
      </c>
      <c r="D20" s="121">
        <f>E19*$C$6</f>
        <v>15</v>
      </c>
      <c r="E20" s="251">
        <f>F19*$C$6</f>
        <v>15</v>
      </c>
      <c r="F20" s="251">
        <f t="shared" ref="F20:N20" si="9">G19*$C$6</f>
        <v>15</v>
      </c>
      <c r="G20" s="251">
        <f t="shared" si="9"/>
        <v>15</v>
      </c>
      <c r="H20" s="251">
        <f t="shared" si="9"/>
        <v>20</v>
      </c>
      <c r="I20" s="251">
        <f t="shared" si="9"/>
        <v>20</v>
      </c>
      <c r="J20" s="251">
        <f t="shared" si="9"/>
        <v>20</v>
      </c>
      <c r="K20" s="251">
        <f t="shared" si="9"/>
        <v>15</v>
      </c>
      <c r="L20" s="251">
        <f t="shared" si="9"/>
        <v>15</v>
      </c>
      <c r="M20" s="251">
        <f t="shared" si="9"/>
        <v>20</v>
      </c>
      <c r="N20" s="251">
        <f t="shared" si="9"/>
        <v>20</v>
      </c>
      <c r="O20" s="251">
        <f>Q19*$C$6</f>
        <v>20</v>
      </c>
      <c r="P20" s="123">
        <f>O20</f>
        <v>20</v>
      </c>
      <c r="Q20" s="122">
        <f t="shared" ref="Q20" si="10">R19*$C$6</f>
        <v>15</v>
      </c>
      <c r="R20" s="122"/>
    </row>
    <row r="21" spans="2:19" x14ac:dyDescent="0.3">
      <c r="B21" s="90" t="s">
        <v>70</v>
      </c>
      <c r="C21" s="90"/>
      <c r="D21" s="122">
        <f>SUM(D19:D20)</f>
        <v>45</v>
      </c>
      <c r="E21" s="251">
        <f>SUM(E19:E20)</f>
        <v>45</v>
      </c>
      <c r="F21" s="251">
        <f t="shared" ref="F21:Q21" si="11">SUM(F19:F20)</f>
        <v>45</v>
      </c>
      <c r="G21" s="251">
        <f t="shared" si="11"/>
        <v>45</v>
      </c>
      <c r="H21" s="251">
        <f t="shared" si="11"/>
        <v>50</v>
      </c>
      <c r="I21" s="251">
        <f t="shared" si="11"/>
        <v>60</v>
      </c>
      <c r="J21" s="251">
        <f t="shared" si="11"/>
        <v>60</v>
      </c>
      <c r="K21" s="251">
        <f t="shared" si="11"/>
        <v>55</v>
      </c>
      <c r="L21" s="251">
        <f t="shared" si="11"/>
        <v>45</v>
      </c>
      <c r="M21" s="251">
        <f t="shared" si="11"/>
        <v>50</v>
      </c>
      <c r="N21" s="251">
        <f t="shared" si="11"/>
        <v>60</v>
      </c>
      <c r="O21" s="251">
        <f t="shared" si="11"/>
        <v>60</v>
      </c>
      <c r="P21" s="123">
        <f t="shared" si="11"/>
        <v>430</v>
      </c>
      <c r="Q21" s="122">
        <f t="shared" si="11"/>
        <v>55</v>
      </c>
      <c r="R21" s="122"/>
    </row>
    <row r="22" spans="2:19" x14ac:dyDescent="0.3">
      <c r="B22" s="90" t="s">
        <v>71</v>
      </c>
      <c r="C22" s="90"/>
      <c r="D22" s="124">
        <f>D19*$C$6</f>
        <v>15</v>
      </c>
      <c r="E22" s="251">
        <f>D20</f>
        <v>15</v>
      </c>
      <c r="F22" s="251">
        <f t="shared" ref="F22:O22" si="12">E20</f>
        <v>15</v>
      </c>
      <c r="G22" s="251">
        <f t="shared" si="12"/>
        <v>15</v>
      </c>
      <c r="H22" s="251">
        <f t="shared" si="12"/>
        <v>15</v>
      </c>
      <c r="I22" s="251">
        <f t="shared" si="12"/>
        <v>20</v>
      </c>
      <c r="J22" s="251">
        <f t="shared" si="12"/>
        <v>20</v>
      </c>
      <c r="K22" s="251">
        <f t="shared" si="12"/>
        <v>20</v>
      </c>
      <c r="L22" s="251">
        <f t="shared" si="12"/>
        <v>15</v>
      </c>
      <c r="M22" s="251">
        <f t="shared" si="12"/>
        <v>15</v>
      </c>
      <c r="N22" s="251">
        <f t="shared" si="12"/>
        <v>20</v>
      </c>
      <c r="O22" s="251">
        <f t="shared" si="12"/>
        <v>20</v>
      </c>
      <c r="P22" s="123">
        <f>D22</f>
        <v>15</v>
      </c>
      <c r="Q22" s="122">
        <f>O20</f>
        <v>20</v>
      </c>
      <c r="R22" s="122"/>
    </row>
    <row r="23" spans="2:19" s="53" customFormat="1" x14ac:dyDescent="0.3">
      <c r="B23" s="125" t="s">
        <v>76</v>
      </c>
      <c r="C23" s="125"/>
      <c r="D23" s="126">
        <f>D21-D22</f>
        <v>30</v>
      </c>
      <c r="E23" s="127">
        <f>E21-E22</f>
        <v>30</v>
      </c>
      <c r="F23" s="127">
        <f t="shared" ref="F23:Q23" si="13">F21-F22</f>
        <v>30</v>
      </c>
      <c r="G23" s="127">
        <f t="shared" si="13"/>
        <v>30</v>
      </c>
      <c r="H23" s="127">
        <f t="shared" si="13"/>
        <v>35</v>
      </c>
      <c r="I23" s="127">
        <f t="shared" si="13"/>
        <v>40</v>
      </c>
      <c r="J23" s="127">
        <f t="shared" si="13"/>
        <v>40</v>
      </c>
      <c r="K23" s="127">
        <f t="shared" si="13"/>
        <v>35</v>
      </c>
      <c r="L23" s="127">
        <f t="shared" si="13"/>
        <v>30</v>
      </c>
      <c r="M23" s="127">
        <f t="shared" si="13"/>
        <v>35</v>
      </c>
      <c r="N23" s="127">
        <f t="shared" si="13"/>
        <v>40</v>
      </c>
      <c r="O23" s="127">
        <f t="shared" si="13"/>
        <v>40</v>
      </c>
      <c r="P23" s="128">
        <f t="shared" si="13"/>
        <v>415</v>
      </c>
      <c r="Q23" s="127">
        <f t="shared" si="13"/>
        <v>35</v>
      </c>
      <c r="R23" s="127"/>
    </row>
    <row r="24" spans="2:19" x14ac:dyDescent="0.3">
      <c r="B24" s="84"/>
      <c r="C24" s="84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4"/>
      <c r="Q24" s="255"/>
      <c r="R24" s="84"/>
    </row>
    <row r="25" spans="2:19" x14ac:dyDescent="0.3">
      <c r="B25" s="305" t="str">
        <f>Assumptions!B8</f>
        <v>3D printer - RV800</v>
      </c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7"/>
      <c r="S25" s="69"/>
    </row>
    <row r="26" spans="2:19" x14ac:dyDescent="0.3">
      <c r="B26" s="90" t="s">
        <v>65</v>
      </c>
      <c r="C26" s="90"/>
      <c r="D26" s="117">
        <f>Assumptions!C17</f>
        <v>10</v>
      </c>
      <c r="E26" s="250">
        <f>Assumptions!D17</f>
        <v>10</v>
      </c>
      <c r="F26" s="250">
        <f>Assumptions!E17</f>
        <v>10</v>
      </c>
      <c r="G26" s="250">
        <f>Assumptions!F17</f>
        <v>10</v>
      </c>
      <c r="H26" s="250">
        <f>Assumptions!G17</f>
        <v>10</v>
      </c>
      <c r="I26" s="250">
        <f>Assumptions!H17</f>
        <v>25</v>
      </c>
      <c r="J26" s="250">
        <f>Assumptions!I17</f>
        <v>25</v>
      </c>
      <c r="K26" s="250">
        <f>Assumptions!J17</f>
        <v>25</v>
      </c>
      <c r="L26" s="250">
        <f>Assumptions!K17</f>
        <v>10</v>
      </c>
      <c r="M26" s="250">
        <f>Assumptions!L17</f>
        <v>10</v>
      </c>
      <c r="N26" s="250">
        <f>Assumptions!M17</f>
        <v>25</v>
      </c>
      <c r="O26" s="250">
        <f>Assumptions!N17</f>
        <v>25</v>
      </c>
      <c r="P26" s="118">
        <f>SUM(D26:O26)</f>
        <v>195</v>
      </c>
      <c r="Q26" s="252">
        <f>Assumptions!O17</f>
        <v>25</v>
      </c>
      <c r="R26" s="252">
        <f>Assumptions!P17</f>
        <v>10</v>
      </c>
    </row>
    <row r="27" spans="2:19" x14ac:dyDescent="0.3">
      <c r="B27" s="119" t="s">
        <v>136</v>
      </c>
      <c r="C27" s="120">
        <f>Assumptions!$C$31</f>
        <v>0.5</v>
      </c>
      <c r="D27" s="121">
        <f>E26*$C$6</f>
        <v>5</v>
      </c>
      <c r="E27" s="251">
        <f>F26*$C$6</f>
        <v>5</v>
      </c>
      <c r="F27" s="251">
        <f t="shared" ref="F27" si="14">G26*$C$6</f>
        <v>5</v>
      </c>
      <c r="G27" s="251">
        <f t="shared" ref="G27" si="15">H26*$C$6</f>
        <v>5</v>
      </c>
      <c r="H27" s="251">
        <f t="shared" ref="H27" si="16">I26*$C$6</f>
        <v>12.5</v>
      </c>
      <c r="I27" s="251">
        <f t="shared" ref="I27" si="17">J26*$C$6</f>
        <v>12.5</v>
      </c>
      <c r="J27" s="251">
        <f t="shared" ref="J27" si="18">K26*$C$6</f>
        <v>12.5</v>
      </c>
      <c r="K27" s="251">
        <f t="shared" ref="K27" si="19">L26*$C$6</f>
        <v>5</v>
      </c>
      <c r="L27" s="251">
        <f t="shared" ref="L27" si="20">M26*$C$6</f>
        <v>5</v>
      </c>
      <c r="M27" s="251">
        <f t="shared" ref="M27" si="21">N26*$C$6</f>
        <v>12.5</v>
      </c>
      <c r="N27" s="251">
        <f t="shared" ref="N27" si="22">O26*$C$6</f>
        <v>12.5</v>
      </c>
      <c r="O27" s="251">
        <f>Q26*$C$6</f>
        <v>12.5</v>
      </c>
      <c r="P27" s="123">
        <f>O27</f>
        <v>12.5</v>
      </c>
      <c r="Q27" s="122">
        <f t="shared" ref="Q27" si="23">R26*$C$6</f>
        <v>5</v>
      </c>
      <c r="R27" s="122"/>
    </row>
    <row r="28" spans="2:19" x14ac:dyDescent="0.3">
      <c r="B28" s="90" t="s">
        <v>70</v>
      </c>
      <c r="C28" s="90"/>
      <c r="D28" s="122">
        <f>SUM(D26:D27)</f>
        <v>15</v>
      </c>
      <c r="E28" s="251">
        <f>SUM(E26:E27)</f>
        <v>15</v>
      </c>
      <c r="F28" s="251">
        <f t="shared" ref="F28:Q28" si="24">SUM(F26:F27)</f>
        <v>15</v>
      </c>
      <c r="G28" s="251">
        <f t="shared" si="24"/>
        <v>15</v>
      </c>
      <c r="H28" s="251">
        <f t="shared" si="24"/>
        <v>22.5</v>
      </c>
      <c r="I28" s="251">
        <f t="shared" si="24"/>
        <v>37.5</v>
      </c>
      <c r="J28" s="251">
        <f t="shared" si="24"/>
        <v>37.5</v>
      </c>
      <c r="K28" s="251">
        <f t="shared" si="24"/>
        <v>30</v>
      </c>
      <c r="L28" s="251">
        <f t="shared" si="24"/>
        <v>15</v>
      </c>
      <c r="M28" s="251">
        <f t="shared" si="24"/>
        <v>22.5</v>
      </c>
      <c r="N28" s="251">
        <f t="shared" si="24"/>
        <v>37.5</v>
      </c>
      <c r="O28" s="251">
        <f t="shared" si="24"/>
        <v>37.5</v>
      </c>
      <c r="P28" s="123">
        <f t="shared" si="24"/>
        <v>207.5</v>
      </c>
      <c r="Q28" s="122">
        <f t="shared" si="24"/>
        <v>30</v>
      </c>
      <c r="R28" s="122"/>
    </row>
    <row r="29" spans="2:19" x14ac:dyDescent="0.3">
      <c r="B29" s="90" t="s">
        <v>71</v>
      </c>
      <c r="C29" s="90"/>
      <c r="D29" s="124">
        <f>D26*$C$6</f>
        <v>5</v>
      </c>
      <c r="E29" s="251">
        <f>D27</f>
        <v>5</v>
      </c>
      <c r="F29" s="251">
        <f t="shared" ref="F29" si="25">E27</f>
        <v>5</v>
      </c>
      <c r="G29" s="251">
        <f t="shared" ref="G29" si="26">F27</f>
        <v>5</v>
      </c>
      <c r="H29" s="251">
        <f t="shared" ref="H29" si="27">G27</f>
        <v>5</v>
      </c>
      <c r="I29" s="251">
        <f t="shared" ref="I29" si="28">H27</f>
        <v>12.5</v>
      </c>
      <c r="J29" s="251">
        <f t="shared" ref="J29" si="29">I27</f>
        <v>12.5</v>
      </c>
      <c r="K29" s="251">
        <f t="shared" ref="K29" si="30">J27</f>
        <v>12.5</v>
      </c>
      <c r="L29" s="251">
        <f t="shared" ref="L29" si="31">K27</f>
        <v>5</v>
      </c>
      <c r="M29" s="251">
        <f t="shared" ref="M29" si="32">L27</f>
        <v>5</v>
      </c>
      <c r="N29" s="251">
        <f t="shared" ref="N29" si="33">M27</f>
        <v>12.5</v>
      </c>
      <c r="O29" s="251">
        <f t="shared" ref="O29" si="34">N27</f>
        <v>12.5</v>
      </c>
      <c r="P29" s="123">
        <f>D29</f>
        <v>5</v>
      </c>
      <c r="Q29" s="122">
        <f>O27</f>
        <v>12.5</v>
      </c>
      <c r="R29" s="122"/>
    </row>
    <row r="30" spans="2:19" s="53" customFormat="1" x14ac:dyDescent="0.3">
      <c r="B30" s="125" t="s">
        <v>76</v>
      </c>
      <c r="C30" s="125"/>
      <c r="D30" s="126">
        <f>D28-D29</f>
        <v>10</v>
      </c>
      <c r="E30" s="127">
        <f>E28-E29</f>
        <v>10</v>
      </c>
      <c r="F30" s="127">
        <f t="shared" ref="F30:Q30" si="35">F28-F29</f>
        <v>10</v>
      </c>
      <c r="G30" s="127">
        <f t="shared" si="35"/>
        <v>10</v>
      </c>
      <c r="H30" s="127">
        <f t="shared" si="35"/>
        <v>17.5</v>
      </c>
      <c r="I30" s="127">
        <f t="shared" si="35"/>
        <v>25</v>
      </c>
      <c r="J30" s="127">
        <f t="shared" si="35"/>
        <v>25</v>
      </c>
      <c r="K30" s="127">
        <f t="shared" si="35"/>
        <v>17.5</v>
      </c>
      <c r="L30" s="127">
        <f t="shared" si="35"/>
        <v>10</v>
      </c>
      <c r="M30" s="127">
        <f t="shared" si="35"/>
        <v>17.5</v>
      </c>
      <c r="N30" s="127">
        <f t="shared" si="35"/>
        <v>25</v>
      </c>
      <c r="O30" s="127">
        <f t="shared" si="35"/>
        <v>25</v>
      </c>
      <c r="P30" s="128">
        <f t="shared" si="35"/>
        <v>202.5</v>
      </c>
      <c r="Q30" s="127">
        <f t="shared" si="35"/>
        <v>17.5</v>
      </c>
      <c r="R30" s="127"/>
    </row>
    <row r="31" spans="2:19" x14ac:dyDescent="0.3">
      <c r="B31" s="84"/>
      <c r="C31" s="84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63"/>
      <c r="Q31" s="255"/>
      <c r="R31" s="84"/>
    </row>
    <row r="32" spans="2:19" x14ac:dyDescent="0.3">
      <c r="B32" s="305" t="str">
        <f>Assumptions!B9</f>
        <v>Label/barcode printer 6-inch industrial - A200</v>
      </c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7"/>
      <c r="S32" s="69"/>
    </row>
    <row r="33" spans="2:18" x14ac:dyDescent="0.3">
      <c r="B33" s="90" t="s">
        <v>65</v>
      </c>
      <c r="C33" s="90"/>
      <c r="D33" s="117">
        <f>Assumptions!C18</f>
        <v>50</v>
      </c>
      <c r="E33" s="250">
        <f>Assumptions!D18</f>
        <v>50</v>
      </c>
      <c r="F33" s="250">
        <f>Assumptions!E18</f>
        <v>50</v>
      </c>
      <c r="G33" s="250">
        <f>Assumptions!F18</f>
        <v>50</v>
      </c>
      <c r="H33" s="250">
        <f>Assumptions!G18</f>
        <v>50</v>
      </c>
      <c r="I33" s="250">
        <f>Assumptions!H18</f>
        <v>60</v>
      </c>
      <c r="J33" s="250">
        <f>Assumptions!I18</f>
        <v>60</v>
      </c>
      <c r="K33" s="250">
        <f>Assumptions!J18</f>
        <v>60</v>
      </c>
      <c r="L33" s="250">
        <f>Assumptions!K18</f>
        <v>50</v>
      </c>
      <c r="M33" s="250">
        <f>Assumptions!L18</f>
        <v>50</v>
      </c>
      <c r="N33" s="250">
        <f>Assumptions!M18</f>
        <v>60</v>
      </c>
      <c r="O33" s="250">
        <f>Assumptions!N18</f>
        <v>60</v>
      </c>
      <c r="P33" s="118">
        <f>SUM(D33:O33)</f>
        <v>650</v>
      </c>
      <c r="Q33" s="252">
        <f>Assumptions!O18</f>
        <v>60</v>
      </c>
      <c r="R33" s="252">
        <f>Assumptions!P18</f>
        <v>50</v>
      </c>
    </row>
    <row r="34" spans="2:18" x14ac:dyDescent="0.3">
      <c r="B34" s="119" t="s">
        <v>136</v>
      </c>
      <c r="C34" s="120">
        <f>Assumptions!$C$31</f>
        <v>0.5</v>
      </c>
      <c r="D34" s="121">
        <f>E33*$C$6</f>
        <v>25</v>
      </c>
      <c r="E34" s="251">
        <f>F33*$C$6</f>
        <v>25</v>
      </c>
      <c r="F34" s="251">
        <f t="shared" ref="F34" si="36">G33*$C$6</f>
        <v>25</v>
      </c>
      <c r="G34" s="251">
        <f t="shared" ref="G34" si="37">H33*$C$6</f>
        <v>25</v>
      </c>
      <c r="H34" s="251">
        <f t="shared" ref="H34" si="38">I33*$C$6</f>
        <v>30</v>
      </c>
      <c r="I34" s="251">
        <f t="shared" ref="I34" si="39">J33*$C$6</f>
        <v>30</v>
      </c>
      <c r="J34" s="251">
        <f t="shared" ref="J34" si="40">K33*$C$6</f>
        <v>30</v>
      </c>
      <c r="K34" s="251">
        <f t="shared" ref="K34" si="41">L33*$C$6</f>
        <v>25</v>
      </c>
      <c r="L34" s="251">
        <f t="shared" ref="L34" si="42">M33*$C$6</f>
        <v>25</v>
      </c>
      <c r="M34" s="251">
        <f t="shared" ref="M34" si="43">N33*$C$6</f>
        <v>30</v>
      </c>
      <c r="N34" s="251">
        <f t="shared" ref="N34" si="44">O33*$C$6</f>
        <v>30</v>
      </c>
      <c r="O34" s="251">
        <f>Q33*$C$6</f>
        <v>30</v>
      </c>
      <c r="P34" s="123">
        <f>O34</f>
        <v>30</v>
      </c>
      <c r="Q34" s="122">
        <f t="shared" ref="Q34" si="45">R33*$C$6</f>
        <v>25</v>
      </c>
      <c r="R34" s="122"/>
    </row>
    <row r="35" spans="2:18" x14ac:dyDescent="0.3">
      <c r="B35" s="90" t="s">
        <v>70</v>
      </c>
      <c r="C35" s="90"/>
      <c r="D35" s="122">
        <f>SUM(D33:D34)</f>
        <v>75</v>
      </c>
      <c r="E35" s="251">
        <f>SUM(E33:E34)</f>
        <v>75</v>
      </c>
      <c r="F35" s="251">
        <f t="shared" ref="F35:Q35" si="46">SUM(F33:F34)</f>
        <v>75</v>
      </c>
      <c r="G35" s="251">
        <f t="shared" si="46"/>
        <v>75</v>
      </c>
      <c r="H35" s="251">
        <f t="shared" si="46"/>
        <v>80</v>
      </c>
      <c r="I35" s="251">
        <f t="shared" si="46"/>
        <v>90</v>
      </c>
      <c r="J35" s="251">
        <f t="shared" si="46"/>
        <v>90</v>
      </c>
      <c r="K35" s="251">
        <f t="shared" si="46"/>
        <v>85</v>
      </c>
      <c r="L35" s="251">
        <f t="shared" si="46"/>
        <v>75</v>
      </c>
      <c r="M35" s="251">
        <f t="shared" si="46"/>
        <v>80</v>
      </c>
      <c r="N35" s="251">
        <f t="shared" si="46"/>
        <v>90</v>
      </c>
      <c r="O35" s="251">
        <f t="shared" si="46"/>
        <v>90</v>
      </c>
      <c r="P35" s="123">
        <f t="shared" si="46"/>
        <v>680</v>
      </c>
      <c r="Q35" s="122">
        <f t="shared" si="46"/>
        <v>85</v>
      </c>
      <c r="R35" s="122"/>
    </row>
    <row r="36" spans="2:18" x14ac:dyDescent="0.3">
      <c r="B36" s="90" t="s">
        <v>71</v>
      </c>
      <c r="C36" s="90"/>
      <c r="D36" s="124">
        <f>D33*$C$6</f>
        <v>25</v>
      </c>
      <c r="E36" s="251">
        <f>D34</f>
        <v>25</v>
      </c>
      <c r="F36" s="251">
        <f t="shared" ref="F36" si="47">E34</f>
        <v>25</v>
      </c>
      <c r="G36" s="251">
        <f t="shared" ref="G36" si="48">F34</f>
        <v>25</v>
      </c>
      <c r="H36" s="251">
        <f t="shared" ref="H36" si="49">G34</f>
        <v>25</v>
      </c>
      <c r="I36" s="251">
        <f t="shared" ref="I36" si="50">H34</f>
        <v>30</v>
      </c>
      <c r="J36" s="251">
        <f t="shared" ref="J36" si="51">I34</f>
        <v>30</v>
      </c>
      <c r="K36" s="251">
        <f t="shared" ref="K36" si="52">J34</f>
        <v>30</v>
      </c>
      <c r="L36" s="251">
        <f t="shared" ref="L36" si="53">K34</f>
        <v>25</v>
      </c>
      <c r="M36" s="251">
        <f t="shared" ref="M36" si="54">L34</f>
        <v>25</v>
      </c>
      <c r="N36" s="251">
        <f t="shared" ref="N36" si="55">M34</f>
        <v>30</v>
      </c>
      <c r="O36" s="251">
        <f t="shared" ref="O36" si="56">N34</f>
        <v>30</v>
      </c>
      <c r="P36" s="123">
        <f>D36</f>
        <v>25</v>
      </c>
      <c r="Q36" s="122">
        <f>O34</f>
        <v>30</v>
      </c>
      <c r="R36" s="122"/>
    </row>
    <row r="37" spans="2:18" s="53" customFormat="1" x14ac:dyDescent="0.3">
      <c r="B37" s="125" t="s">
        <v>76</v>
      </c>
      <c r="C37" s="125"/>
      <c r="D37" s="126">
        <f>D35-D36</f>
        <v>50</v>
      </c>
      <c r="E37" s="127">
        <f>E35-E36</f>
        <v>50</v>
      </c>
      <c r="F37" s="127">
        <f t="shared" ref="F37:Q37" si="57">F35-F36</f>
        <v>50</v>
      </c>
      <c r="G37" s="127">
        <f t="shared" si="57"/>
        <v>50</v>
      </c>
      <c r="H37" s="127">
        <f t="shared" si="57"/>
        <v>55</v>
      </c>
      <c r="I37" s="127">
        <f t="shared" si="57"/>
        <v>60</v>
      </c>
      <c r="J37" s="127">
        <f t="shared" si="57"/>
        <v>60</v>
      </c>
      <c r="K37" s="127">
        <f t="shared" si="57"/>
        <v>55</v>
      </c>
      <c r="L37" s="127">
        <f t="shared" si="57"/>
        <v>50</v>
      </c>
      <c r="M37" s="127">
        <f t="shared" si="57"/>
        <v>55</v>
      </c>
      <c r="N37" s="127">
        <f t="shared" si="57"/>
        <v>60</v>
      </c>
      <c r="O37" s="127">
        <f t="shared" si="57"/>
        <v>60</v>
      </c>
      <c r="P37" s="128">
        <f t="shared" si="57"/>
        <v>655</v>
      </c>
      <c r="Q37" s="127">
        <f t="shared" si="57"/>
        <v>55</v>
      </c>
      <c r="R37" s="127"/>
    </row>
    <row r="38" spans="2:18" x14ac:dyDescent="0.3"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1"/>
      <c r="Q38" s="50"/>
    </row>
    <row r="39" spans="2:18" x14ac:dyDescent="0.3"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1"/>
      <c r="Q39" s="50"/>
    </row>
    <row r="40" spans="2:18" x14ac:dyDescent="0.3">
      <c r="B40" s="53"/>
      <c r="P40" s="52"/>
    </row>
    <row r="41" spans="2:18" x14ac:dyDescent="0.3">
      <c r="B41" s="53"/>
      <c r="P41" s="52"/>
    </row>
    <row r="42" spans="2:18" x14ac:dyDescent="0.3">
      <c r="B42" s="53"/>
      <c r="D42" s="57"/>
      <c r="P42" s="52"/>
    </row>
    <row r="43" spans="2:18" x14ac:dyDescent="0.3">
      <c r="B43" s="53"/>
      <c r="D43" s="57"/>
      <c r="P43" s="52"/>
    </row>
    <row r="44" spans="2:18" x14ac:dyDescent="0.3">
      <c r="B44" s="53"/>
      <c r="D44" s="57"/>
      <c r="P44" s="52"/>
    </row>
    <row r="45" spans="2:18" x14ac:dyDescent="0.3">
      <c r="B45" s="53"/>
      <c r="P45" s="52"/>
    </row>
    <row r="46" spans="2:18" x14ac:dyDescent="0.3">
      <c r="B46" s="53"/>
      <c r="P46" s="52"/>
    </row>
    <row r="47" spans="2:18" x14ac:dyDescent="0.3">
      <c r="B47" s="53"/>
      <c r="C47" s="53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62"/>
      <c r="Q47" s="55"/>
    </row>
    <row r="48" spans="2:18" x14ac:dyDescent="0.3">
      <c r="B48" s="47"/>
      <c r="C48" s="47"/>
      <c r="D48" s="48"/>
      <c r="P48" s="52"/>
    </row>
    <row r="49" spans="2:17" x14ac:dyDescent="0.3">
      <c r="B49" s="47"/>
      <c r="C49" s="47"/>
      <c r="D49" s="48"/>
      <c r="P49" s="52"/>
    </row>
    <row r="50" spans="2:17" x14ac:dyDescent="0.3">
      <c r="B50" s="47"/>
      <c r="C50" s="47"/>
      <c r="D50" s="48"/>
      <c r="P50" s="52"/>
    </row>
    <row r="51" spans="2:17" x14ac:dyDescent="0.3">
      <c r="B51" s="47"/>
      <c r="C51" s="47"/>
      <c r="D51" s="48"/>
      <c r="P51" s="52"/>
    </row>
    <row r="52" spans="2:17" x14ac:dyDescent="0.3">
      <c r="D52" s="49"/>
      <c r="P52" s="52"/>
    </row>
    <row r="53" spans="2:17" x14ac:dyDescent="0.3">
      <c r="B53" s="59"/>
      <c r="C53" s="56"/>
      <c r="D53" s="60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</row>
    <row r="54" spans="2:17" x14ac:dyDescent="0.3">
      <c r="D54" s="61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</row>
    <row r="55" spans="2:17" x14ac:dyDescent="0.3">
      <c r="D55" s="61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</row>
    <row r="56" spans="2:17" x14ac:dyDescent="0.3">
      <c r="D56" s="61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</row>
    <row r="57" spans="2:17" x14ac:dyDescent="0.3">
      <c r="D57" s="50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</row>
    <row r="58" spans="2:17" x14ac:dyDescent="0.3">
      <c r="D58" s="50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</row>
    <row r="59" spans="2:17" x14ac:dyDescent="0.3">
      <c r="B59" s="48"/>
      <c r="C59" s="48"/>
      <c r="D59" s="48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</row>
    <row r="60" spans="2:17" x14ac:dyDescent="0.3">
      <c r="B60" s="47"/>
      <c r="C60" s="47"/>
      <c r="D60" s="48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</row>
    <row r="61" spans="2:17" x14ac:dyDescent="0.3">
      <c r="B61" s="47"/>
      <c r="C61" s="47"/>
      <c r="D61" s="48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</row>
    <row r="62" spans="2:17" x14ac:dyDescent="0.3">
      <c r="B62" s="47"/>
      <c r="C62" s="47"/>
      <c r="D62" s="48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</row>
    <row r="63" spans="2:17" x14ac:dyDescent="0.3">
      <c r="B63" s="47"/>
      <c r="C63" s="47"/>
      <c r="D63" s="48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</row>
    <row r="64" spans="2:17" x14ac:dyDescent="0.3">
      <c r="D64" s="49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</row>
    <row r="65" spans="2:17" x14ac:dyDescent="0.3">
      <c r="B65" s="59"/>
      <c r="C65" s="56"/>
      <c r="D65" s="60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</row>
    <row r="66" spans="2:17" x14ac:dyDescent="0.3">
      <c r="D66" s="61"/>
    </row>
    <row r="67" spans="2:17" x14ac:dyDescent="0.3">
      <c r="D67" s="61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</row>
    <row r="68" spans="2:17" x14ac:dyDescent="0.3">
      <c r="D68" s="61"/>
    </row>
    <row r="69" spans="2:17" x14ac:dyDescent="0.3">
      <c r="D69" s="50"/>
    </row>
    <row r="70" spans="2:17" x14ac:dyDescent="0.3">
      <c r="D70" s="50"/>
    </row>
    <row r="72" spans="2:17" x14ac:dyDescent="0.3">
      <c r="B72" s="47"/>
      <c r="C72" s="47"/>
      <c r="D72" s="48"/>
    </row>
    <row r="73" spans="2:17" x14ac:dyDescent="0.3">
      <c r="B73" s="47"/>
      <c r="C73" s="47"/>
      <c r="D73" s="48"/>
    </row>
    <row r="74" spans="2:17" x14ac:dyDescent="0.3">
      <c r="B74" s="47"/>
      <c r="C74" s="47"/>
      <c r="D74" s="48"/>
    </row>
    <row r="75" spans="2:17" x14ac:dyDescent="0.3">
      <c r="B75" s="47"/>
      <c r="C75" s="47"/>
      <c r="D75" s="48"/>
    </row>
    <row r="76" spans="2:17" x14ac:dyDescent="0.3">
      <c r="D76" s="49"/>
    </row>
    <row r="77" spans="2:17" x14ac:dyDescent="0.3">
      <c r="B77" s="59"/>
      <c r="C77" s="56"/>
      <c r="D77" s="60"/>
    </row>
    <row r="78" spans="2:17" x14ac:dyDescent="0.3">
      <c r="D78" s="61"/>
    </row>
    <row r="79" spans="2:17" x14ac:dyDescent="0.3">
      <c r="D79" s="61"/>
    </row>
    <row r="80" spans="2:17" x14ac:dyDescent="0.3">
      <c r="D80" s="61"/>
    </row>
    <row r="81" spans="2:4" x14ac:dyDescent="0.3">
      <c r="D81" s="50"/>
    </row>
    <row r="83" spans="2:4" x14ac:dyDescent="0.3">
      <c r="B83" s="47"/>
      <c r="C83" s="47"/>
      <c r="D83" s="48"/>
    </row>
    <row r="84" spans="2:4" x14ac:dyDescent="0.3">
      <c r="B84" s="47"/>
      <c r="C84" s="47"/>
      <c r="D84" s="48"/>
    </row>
    <row r="85" spans="2:4" x14ac:dyDescent="0.3">
      <c r="B85" s="47"/>
      <c r="C85" s="47"/>
      <c r="D85" s="48"/>
    </row>
    <row r="86" spans="2:4" x14ac:dyDescent="0.3">
      <c r="B86" s="47"/>
      <c r="C86" s="47"/>
      <c r="D86" s="48"/>
    </row>
    <row r="87" spans="2:4" x14ac:dyDescent="0.3">
      <c r="D87" s="49"/>
    </row>
    <row r="88" spans="2:4" x14ac:dyDescent="0.3">
      <c r="B88" s="59"/>
      <c r="C88" s="56"/>
      <c r="D88" s="60"/>
    </row>
    <row r="89" spans="2:4" x14ac:dyDescent="0.3">
      <c r="D89" s="61"/>
    </row>
    <row r="90" spans="2:4" x14ac:dyDescent="0.3">
      <c r="D90" s="61"/>
    </row>
    <row r="91" spans="2:4" x14ac:dyDescent="0.3">
      <c r="D91" s="61"/>
    </row>
  </sheetData>
  <mergeCells count="6">
    <mergeCell ref="B32:R32"/>
    <mergeCell ref="B2:C2"/>
    <mergeCell ref="B4:R4"/>
    <mergeCell ref="B11:R11"/>
    <mergeCell ref="B18:R18"/>
    <mergeCell ref="B25:R25"/>
  </mergeCells>
  <pageMargins left="0.7" right="0.7" top="0.75" bottom="0.75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7092B-D965-4237-8B80-8D92AEA4E96E}">
  <sheetPr>
    <pageSetUpPr fitToPage="1"/>
  </sheetPr>
  <dimension ref="A2:R35"/>
  <sheetViews>
    <sheetView topLeftCell="A13" zoomScaleNormal="100" workbookViewId="0">
      <selection activeCell="P33" sqref="P33"/>
    </sheetView>
  </sheetViews>
  <sheetFormatPr defaultColWidth="9.109375" defaultRowHeight="14.4" x14ac:dyDescent="0.3"/>
  <cols>
    <col min="1" max="1" width="4.5546875" style="35" customWidth="1"/>
    <col min="2" max="2" width="41.88671875" style="35" customWidth="1"/>
    <col min="3" max="15" width="8.77734375" style="35" customWidth="1"/>
    <col min="16" max="16" width="11.109375" style="35" customWidth="1"/>
    <col min="17" max="17" width="9.44140625" style="35" customWidth="1"/>
    <col min="18" max="16384" width="9.109375" style="35"/>
  </cols>
  <sheetData>
    <row r="2" spans="1:18" ht="15.6" x14ac:dyDescent="0.3">
      <c r="B2" s="133" t="s">
        <v>196</v>
      </c>
      <c r="C2" s="87" t="s">
        <v>140</v>
      </c>
      <c r="D2" s="87" t="str">
        <f>Assumptions!$C$12</f>
        <v>Jul</v>
      </c>
      <c r="E2" s="87" t="str">
        <f>Assumptions!$D$12</f>
        <v>Aug</v>
      </c>
      <c r="F2" s="87" t="str">
        <f>Assumptions!$E$12</f>
        <v>Sep</v>
      </c>
      <c r="G2" s="87" t="str">
        <f>Assumptions!$F$12</f>
        <v>Oct</v>
      </c>
      <c r="H2" s="87" t="str">
        <f>Assumptions!$G$12</f>
        <v>Nov</v>
      </c>
      <c r="I2" s="87" t="str">
        <f>Assumptions!$H$12</f>
        <v>Dec</v>
      </c>
      <c r="J2" s="87" t="str">
        <f>Assumptions!$I$12</f>
        <v>Jan</v>
      </c>
      <c r="K2" s="87" t="str">
        <f>Assumptions!$J$12</f>
        <v>Feb</v>
      </c>
      <c r="L2" s="87" t="str">
        <f>Assumptions!$K$12</f>
        <v>Mar</v>
      </c>
      <c r="M2" s="87" t="str">
        <f>Assumptions!$L$12</f>
        <v>Apr</v>
      </c>
      <c r="N2" s="87" t="str">
        <f>Assumptions!$M$12</f>
        <v>May</v>
      </c>
      <c r="O2" s="87" t="str">
        <f>Assumptions!$N$12</f>
        <v>Jun</v>
      </c>
      <c r="P2" s="87" t="s">
        <v>18</v>
      </c>
      <c r="Q2" s="87" t="str">
        <f>Assumptions!O12</f>
        <v>Jul</v>
      </c>
    </row>
    <row r="3" spans="1:18" x14ac:dyDescent="0.3">
      <c r="A3" s="68"/>
      <c r="B3" s="135" t="str">
        <f>Assumptions!B5</f>
        <v>Photocopier - Kyco 809 ci</v>
      </c>
      <c r="C3" s="130">
        <f>Assumptions!D5</f>
        <v>230</v>
      </c>
      <c r="D3" s="134">
        <f>'2'!D9</f>
        <v>20</v>
      </c>
      <c r="E3" s="134">
        <f>'2'!E9</f>
        <v>20</v>
      </c>
      <c r="F3" s="134">
        <f>'2'!F9</f>
        <v>20</v>
      </c>
      <c r="G3" s="134">
        <f>'2'!G9</f>
        <v>20</v>
      </c>
      <c r="H3" s="134">
        <f>'2'!H9</f>
        <v>25</v>
      </c>
      <c r="I3" s="134">
        <f>'2'!I9</f>
        <v>30</v>
      </c>
      <c r="J3" s="134">
        <f>'2'!J9</f>
        <v>30</v>
      </c>
      <c r="K3" s="134">
        <f>'2'!K9</f>
        <v>25</v>
      </c>
      <c r="L3" s="134">
        <f>'2'!L9</f>
        <v>20</v>
      </c>
      <c r="M3" s="134">
        <f>'2'!M9</f>
        <v>25</v>
      </c>
      <c r="N3" s="134">
        <f>'2'!N9</f>
        <v>30</v>
      </c>
      <c r="O3" s="134">
        <f>'2'!O9</f>
        <v>30</v>
      </c>
      <c r="P3" s="163">
        <f>SUM(D3:O3)</f>
        <v>295</v>
      </c>
      <c r="Q3" s="131">
        <f>'2'!Q9</f>
        <v>25</v>
      </c>
      <c r="R3" s="69"/>
    </row>
    <row r="4" spans="1:18" x14ac:dyDescent="0.3">
      <c r="A4" s="68"/>
      <c r="B4" s="135" t="str">
        <f>Assumptions!B6</f>
        <v>Photocopier - Monochrome MZ300</v>
      </c>
      <c r="C4" s="130">
        <f>Assumptions!D6</f>
        <v>189.9</v>
      </c>
      <c r="D4" s="134">
        <f>'2'!D16</f>
        <v>40</v>
      </c>
      <c r="E4" s="134">
        <f>'2'!E16</f>
        <v>40</v>
      </c>
      <c r="F4" s="134">
        <f>'2'!F16</f>
        <v>40</v>
      </c>
      <c r="G4" s="134">
        <f>'2'!G16</f>
        <v>40</v>
      </c>
      <c r="H4" s="134">
        <f>'2'!H16</f>
        <v>45</v>
      </c>
      <c r="I4" s="134">
        <f>'2'!I16</f>
        <v>50</v>
      </c>
      <c r="J4" s="134">
        <f>'2'!J16</f>
        <v>50</v>
      </c>
      <c r="K4" s="134">
        <f>'2'!K16</f>
        <v>45</v>
      </c>
      <c r="L4" s="134">
        <f>'2'!L16</f>
        <v>40</v>
      </c>
      <c r="M4" s="134">
        <f>'2'!M16</f>
        <v>45</v>
      </c>
      <c r="N4" s="134">
        <f>'2'!N16</f>
        <v>50</v>
      </c>
      <c r="O4" s="134">
        <f>'2'!O16</f>
        <v>50</v>
      </c>
      <c r="P4" s="163">
        <f t="shared" ref="P4:P5" si="0">SUM(D4:O4)</f>
        <v>535</v>
      </c>
      <c r="Q4" s="131">
        <f>'2'!Q16</f>
        <v>45</v>
      </c>
      <c r="R4" s="69"/>
    </row>
    <row r="5" spans="1:18" x14ac:dyDescent="0.3">
      <c r="A5" s="68"/>
      <c r="B5" s="135" t="str">
        <f>Assumptions!B7</f>
        <v>Multi-function - MFp 200z</v>
      </c>
      <c r="C5" s="130">
        <f>Assumptions!D7</f>
        <v>299.90000000000003</v>
      </c>
      <c r="D5" s="134">
        <f>'2'!D23</f>
        <v>30</v>
      </c>
      <c r="E5" s="134">
        <f>'2'!E23</f>
        <v>30</v>
      </c>
      <c r="F5" s="134">
        <f>'2'!F23</f>
        <v>30</v>
      </c>
      <c r="G5" s="134">
        <f>'2'!G23</f>
        <v>30</v>
      </c>
      <c r="H5" s="134">
        <f>'2'!H23</f>
        <v>35</v>
      </c>
      <c r="I5" s="134">
        <f>'2'!I23</f>
        <v>40</v>
      </c>
      <c r="J5" s="134">
        <f>'2'!J23</f>
        <v>40</v>
      </c>
      <c r="K5" s="134">
        <f>'2'!K23</f>
        <v>35</v>
      </c>
      <c r="L5" s="134">
        <f>'2'!L23</f>
        <v>30</v>
      </c>
      <c r="M5" s="134">
        <f>'2'!M23</f>
        <v>35</v>
      </c>
      <c r="N5" s="134">
        <f>'2'!N23</f>
        <v>40</v>
      </c>
      <c r="O5" s="134">
        <f>'2'!O23</f>
        <v>40</v>
      </c>
      <c r="P5" s="163">
        <f t="shared" si="0"/>
        <v>415</v>
      </c>
      <c r="Q5" s="131">
        <f>'2'!Q23</f>
        <v>35</v>
      </c>
      <c r="R5" s="69"/>
    </row>
    <row r="6" spans="1:18" x14ac:dyDescent="0.3">
      <c r="A6" s="68"/>
      <c r="B6" s="135" t="str">
        <f>Assumptions!B8</f>
        <v>3D printer - RV800</v>
      </c>
      <c r="C6" s="130">
        <f>Assumptions!D8</f>
        <v>57.900000000000006</v>
      </c>
      <c r="D6" s="134">
        <f>'2'!D30</f>
        <v>10</v>
      </c>
      <c r="E6" s="134">
        <f>'2'!E30</f>
        <v>10</v>
      </c>
      <c r="F6" s="134">
        <f>'2'!F30</f>
        <v>10</v>
      </c>
      <c r="G6" s="134">
        <f>'2'!G30</f>
        <v>10</v>
      </c>
      <c r="H6" s="134">
        <f>'2'!H30</f>
        <v>17.5</v>
      </c>
      <c r="I6" s="134">
        <f>'2'!I30</f>
        <v>25</v>
      </c>
      <c r="J6" s="134">
        <f>'2'!J30</f>
        <v>25</v>
      </c>
      <c r="K6" s="134">
        <f>'2'!K30</f>
        <v>17.5</v>
      </c>
      <c r="L6" s="134">
        <f>'2'!L30</f>
        <v>10</v>
      </c>
      <c r="M6" s="134">
        <f>'2'!M30</f>
        <v>17.5</v>
      </c>
      <c r="N6" s="134">
        <f>'2'!N30</f>
        <v>25</v>
      </c>
      <c r="O6" s="134">
        <f>'2'!O30</f>
        <v>25</v>
      </c>
      <c r="P6" s="163">
        <f t="shared" ref="P6:P7" si="1">SUM(D6:O6)</f>
        <v>202.5</v>
      </c>
      <c r="Q6" s="132">
        <f>'2'!Q30</f>
        <v>17.5</v>
      </c>
      <c r="R6" s="69"/>
    </row>
    <row r="7" spans="1:18" x14ac:dyDescent="0.3">
      <c r="A7" s="68"/>
      <c r="B7" s="135" t="str">
        <f>Assumptions!B9</f>
        <v>Label/barcode printer 6-inch industrial - A200</v>
      </c>
      <c r="C7" s="130">
        <f>Assumptions!D9</f>
        <v>63.6</v>
      </c>
      <c r="D7" s="134">
        <f>'2'!D37</f>
        <v>50</v>
      </c>
      <c r="E7" s="134">
        <f>'2'!E37</f>
        <v>50</v>
      </c>
      <c r="F7" s="134">
        <f>'2'!F37</f>
        <v>50</v>
      </c>
      <c r="G7" s="134">
        <f>'2'!G37</f>
        <v>50</v>
      </c>
      <c r="H7" s="134">
        <f>'2'!H37</f>
        <v>55</v>
      </c>
      <c r="I7" s="134">
        <f>'2'!I37</f>
        <v>60</v>
      </c>
      <c r="J7" s="134">
        <f>'2'!J37</f>
        <v>60</v>
      </c>
      <c r="K7" s="134">
        <f>'2'!K37</f>
        <v>55</v>
      </c>
      <c r="L7" s="134">
        <f>'2'!L37</f>
        <v>50</v>
      </c>
      <c r="M7" s="134">
        <f>'2'!M37</f>
        <v>55</v>
      </c>
      <c r="N7" s="134">
        <f>'2'!N37</f>
        <v>60</v>
      </c>
      <c r="O7" s="134">
        <f>'2'!O37</f>
        <v>60</v>
      </c>
      <c r="P7" s="163">
        <f t="shared" si="1"/>
        <v>655</v>
      </c>
      <c r="Q7" s="132">
        <f>'2'!Q37</f>
        <v>55</v>
      </c>
      <c r="R7" s="69"/>
    </row>
    <row r="8" spans="1:18" x14ac:dyDescent="0.3">
      <c r="A8" s="68"/>
      <c r="B8" s="129" t="s">
        <v>148</v>
      </c>
      <c r="C8" s="145"/>
      <c r="D8" s="144">
        <f>SUM(D3:D7)</f>
        <v>150</v>
      </c>
      <c r="E8" s="144">
        <f t="shared" ref="E8:Q8" si="2">SUM(E3:E7)</f>
        <v>150</v>
      </c>
      <c r="F8" s="144">
        <f t="shared" si="2"/>
        <v>150</v>
      </c>
      <c r="G8" s="144">
        <f t="shared" si="2"/>
        <v>150</v>
      </c>
      <c r="H8" s="144">
        <f t="shared" si="2"/>
        <v>177.5</v>
      </c>
      <c r="I8" s="144">
        <f t="shared" si="2"/>
        <v>205</v>
      </c>
      <c r="J8" s="144">
        <f t="shared" si="2"/>
        <v>205</v>
      </c>
      <c r="K8" s="144">
        <f t="shared" si="2"/>
        <v>177.5</v>
      </c>
      <c r="L8" s="144">
        <f t="shared" si="2"/>
        <v>150</v>
      </c>
      <c r="M8" s="144">
        <f t="shared" si="2"/>
        <v>177.5</v>
      </c>
      <c r="N8" s="144">
        <f t="shared" si="2"/>
        <v>205</v>
      </c>
      <c r="O8" s="144">
        <f t="shared" si="2"/>
        <v>205</v>
      </c>
      <c r="P8" s="164">
        <f t="shared" si="2"/>
        <v>2102.5</v>
      </c>
      <c r="Q8" s="144">
        <f t="shared" si="2"/>
        <v>177.5</v>
      </c>
      <c r="R8" s="69"/>
    </row>
    <row r="9" spans="1:18" x14ac:dyDescent="0.3">
      <c r="B9" s="85"/>
      <c r="C9" s="85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39"/>
      <c r="Q9" s="116"/>
    </row>
    <row r="10" spans="1:18" x14ac:dyDescent="0.3">
      <c r="B10" s="312" t="s">
        <v>141</v>
      </c>
      <c r="C10" s="313"/>
      <c r="D10" s="87" t="s">
        <v>101</v>
      </c>
      <c r="E10" s="87" t="s">
        <v>102</v>
      </c>
      <c r="F10" s="87" t="s">
        <v>103</v>
      </c>
      <c r="G10" s="87" t="s">
        <v>104</v>
      </c>
      <c r="H10" s="87" t="s">
        <v>105</v>
      </c>
      <c r="I10" s="87" t="s">
        <v>106</v>
      </c>
      <c r="J10" s="87" t="s">
        <v>107</v>
      </c>
      <c r="K10" s="87" t="s">
        <v>108</v>
      </c>
      <c r="L10" s="87" t="s">
        <v>109</v>
      </c>
      <c r="M10" s="87" t="s">
        <v>110</v>
      </c>
      <c r="N10" s="87" t="s">
        <v>15</v>
      </c>
      <c r="O10" s="87" t="s">
        <v>111</v>
      </c>
      <c r="P10" s="87" t="s">
        <v>18</v>
      </c>
      <c r="Q10" s="87" t="s">
        <v>101</v>
      </c>
    </row>
    <row r="11" spans="1:18" x14ac:dyDescent="0.3">
      <c r="A11" s="68"/>
      <c r="B11" s="308" t="str">
        <f>B3</f>
        <v>Photocopier - Kyco 809 ci</v>
      </c>
      <c r="C11" s="309"/>
      <c r="D11" s="136">
        <f t="shared" ref="D11:O11" si="3">D3*$C$3</f>
        <v>4600</v>
      </c>
      <c r="E11" s="256">
        <f t="shared" si="3"/>
        <v>4600</v>
      </c>
      <c r="F11" s="256">
        <f t="shared" si="3"/>
        <v>4600</v>
      </c>
      <c r="G11" s="256">
        <f t="shared" si="3"/>
        <v>4600</v>
      </c>
      <c r="H11" s="256">
        <f t="shared" si="3"/>
        <v>5750</v>
      </c>
      <c r="I11" s="256">
        <f t="shared" si="3"/>
        <v>6900</v>
      </c>
      <c r="J11" s="256">
        <f t="shared" si="3"/>
        <v>6900</v>
      </c>
      <c r="K11" s="256">
        <f t="shared" si="3"/>
        <v>5750</v>
      </c>
      <c r="L11" s="256">
        <f t="shared" si="3"/>
        <v>4600</v>
      </c>
      <c r="M11" s="256">
        <f t="shared" si="3"/>
        <v>5750</v>
      </c>
      <c r="N11" s="256">
        <f t="shared" si="3"/>
        <v>6900</v>
      </c>
      <c r="O11" s="256">
        <f t="shared" si="3"/>
        <v>6900</v>
      </c>
      <c r="P11" s="165">
        <f>SUM(D11:O11)</f>
        <v>67850</v>
      </c>
      <c r="Q11" s="136">
        <f>Q3*$C$3</f>
        <v>5750</v>
      </c>
      <c r="R11" s="69"/>
    </row>
    <row r="12" spans="1:18" x14ac:dyDescent="0.3">
      <c r="A12" s="68"/>
      <c r="B12" s="308" t="str">
        <f>B4</f>
        <v>Photocopier - Monochrome MZ300</v>
      </c>
      <c r="C12" s="309"/>
      <c r="D12" s="136">
        <f t="shared" ref="D12:O12" si="4">D4*$C$4</f>
        <v>7596</v>
      </c>
      <c r="E12" s="256">
        <f t="shared" si="4"/>
        <v>7596</v>
      </c>
      <c r="F12" s="256">
        <f t="shared" si="4"/>
        <v>7596</v>
      </c>
      <c r="G12" s="256">
        <f t="shared" si="4"/>
        <v>7596</v>
      </c>
      <c r="H12" s="256">
        <f t="shared" si="4"/>
        <v>8545.5</v>
      </c>
      <c r="I12" s="256">
        <f t="shared" si="4"/>
        <v>9495</v>
      </c>
      <c r="J12" s="256">
        <f t="shared" si="4"/>
        <v>9495</v>
      </c>
      <c r="K12" s="256">
        <f t="shared" si="4"/>
        <v>8545.5</v>
      </c>
      <c r="L12" s="256">
        <f t="shared" si="4"/>
        <v>7596</v>
      </c>
      <c r="M12" s="256">
        <f t="shared" si="4"/>
        <v>8545.5</v>
      </c>
      <c r="N12" s="256">
        <f t="shared" si="4"/>
        <v>9495</v>
      </c>
      <c r="O12" s="256">
        <f t="shared" si="4"/>
        <v>9495</v>
      </c>
      <c r="P12" s="165">
        <f t="shared" ref="P12:P15" si="5">SUM(D12:O12)</f>
        <v>101596.5</v>
      </c>
      <c r="Q12" s="136">
        <f>Q4*$C$4</f>
        <v>8545.5</v>
      </c>
      <c r="R12" s="69"/>
    </row>
    <row r="13" spans="1:18" x14ac:dyDescent="0.3">
      <c r="A13" s="68"/>
      <c r="B13" s="308" t="str">
        <f>B5</f>
        <v>Multi-function - MFp 200z</v>
      </c>
      <c r="C13" s="309"/>
      <c r="D13" s="136">
        <f t="shared" ref="D13" si="6">D5*$C$5</f>
        <v>8997.0000000000018</v>
      </c>
      <c r="E13" s="256">
        <f t="shared" ref="E13:O13" si="7">E5*$C$5</f>
        <v>8997.0000000000018</v>
      </c>
      <c r="F13" s="256">
        <f t="shared" si="7"/>
        <v>8997.0000000000018</v>
      </c>
      <c r="G13" s="256">
        <f t="shared" si="7"/>
        <v>8997.0000000000018</v>
      </c>
      <c r="H13" s="256">
        <f t="shared" si="7"/>
        <v>10496.500000000002</v>
      </c>
      <c r="I13" s="256">
        <f t="shared" si="7"/>
        <v>11996.000000000002</v>
      </c>
      <c r="J13" s="256">
        <f t="shared" si="7"/>
        <v>11996.000000000002</v>
      </c>
      <c r="K13" s="256">
        <f t="shared" si="7"/>
        <v>10496.500000000002</v>
      </c>
      <c r="L13" s="256">
        <f t="shared" si="7"/>
        <v>8997.0000000000018</v>
      </c>
      <c r="M13" s="256">
        <f t="shared" si="7"/>
        <v>10496.500000000002</v>
      </c>
      <c r="N13" s="256">
        <f t="shared" si="7"/>
        <v>11996.000000000002</v>
      </c>
      <c r="O13" s="256">
        <f t="shared" si="7"/>
        <v>11996.000000000002</v>
      </c>
      <c r="P13" s="165">
        <f t="shared" si="5"/>
        <v>124458.50000000001</v>
      </c>
      <c r="Q13" s="136">
        <f>Q5*$C$5</f>
        <v>10496.500000000002</v>
      </c>
      <c r="R13" s="69"/>
    </row>
    <row r="14" spans="1:18" x14ac:dyDescent="0.3">
      <c r="A14" s="68"/>
      <c r="B14" s="308" t="str">
        <f>B6</f>
        <v>3D printer - RV800</v>
      </c>
      <c r="C14" s="309"/>
      <c r="D14" s="136">
        <f t="shared" ref="D14:O14" si="8">D6*$C$5</f>
        <v>2999.0000000000005</v>
      </c>
      <c r="E14" s="256">
        <f t="shared" si="8"/>
        <v>2999.0000000000005</v>
      </c>
      <c r="F14" s="256">
        <f t="shared" si="8"/>
        <v>2999.0000000000005</v>
      </c>
      <c r="G14" s="256">
        <f t="shared" si="8"/>
        <v>2999.0000000000005</v>
      </c>
      <c r="H14" s="256">
        <f t="shared" si="8"/>
        <v>5248.2500000000009</v>
      </c>
      <c r="I14" s="256">
        <f t="shared" si="8"/>
        <v>7497.5000000000009</v>
      </c>
      <c r="J14" s="256">
        <f t="shared" si="8"/>
        <v>7497.5000000000009</v>
      </c>
      <c r="K14" s="256">
        <f t="shared" si="8"/>
        <v>5248.2500000000009</v>
      </c>
      <c r="L14" s="256">
        <f t="shared" si="8"/>
        <v>2999.0000000000005</v>
      </c>
      <c r="M14" s="256">
        <f t="shared" si="8"/>
        <v>5248.2500000000009</v>
      </c>
      <c r="N14" s="256">
        <f t="shared" si="8"/>
        <v>7497.5000000000009</v>
      </c>
      <c r="O14" s="256">
        <f t="shared" si="8"/>
        <v>7497.5000000000009</v>
      </c>
      <c r="P14" s="165">
        <f t="shared" si="5"/>
        <v>60729.750000000007</v>
      </c>
      <c r="Q14" s="136">
        <f>Q6*$C$5</f>
        <v>5248.2500000000009</v>
      </c>
      <c r="R14" s="69"/>
    </row>
    <row r="15" spans="1:18" x14ac:dyDescent="0.3">
      <c r="A15" s="68"/>
      <c r="B15" s="308" t="str">
        <f>B7</f>
        <v>Label/barcode printer 6-inch industrial - A200</v>
      </c>
      <c r="C15" s="309"/>
      <c r="D15" s="136">
        <f t="shared" ref="D15:O15" si="9">D7*$C$5</f>
        <v>14995.000000000002</v>
      </c>
      <c r="E15" s="256">
        <f t="shared" si="9"/>
        <v>14995.000000000002</v>
      </c>
      <c r="F15" s="256">
        <f t="shared" si="9"/>
        <v>14995.000000000002</v>
      </c>
      <c r="G15" s="256">
        <f t="shared" si="9"/>
        <v>14995.000000000002</v>
      </c>
      <c r="H15" s="256">
        <f t="shared" si="9"/>
        <v>16494.500000000004</v>
      </c>
      <c r="I15" s="256">
        <f t="shared" si="9"/>
        <v>17994.000000000004</v>
      </c>
      <c r="J15" s="256">
        <f t="shared" si="9"/>
        <v>17994.000000000004</v>
      </c>
      <c r="K15" s="256">
        <f t="shared" si="9"/>
        <v>16494.500000000004</v>
      </c>
      <c r="L15" s="256">
        <f t="shared" si="9"/>
        <v>14995.000000000002</v>
      </c>
      <c r="M15" s="256">
        <f t="shared" si="9"/>
        <v>16494.500000000004</v>
      </c>
      <c r="N15" s="256">
        <f t="shared" si="9"/>
        <v>17994.000000000004</v>
      </c>
      <c r="O15" s="256">
        <f t="shared" si="9"/>
        <v>17994.000000000004</v>
      </c>
      <c r="P15" s="165">
        <f t="shared" si="5"/>
        <v>196434.50000000003</v>
      </c>
      <c r="Q15" s="136">
        <f>Q7*$C$5</f>
        <v>16494.500000000004</v>
      </c>
      <c r="R15" s="69"/>
    </row>
    <row r="16" spans="1:18" x14ac:dyDescent="0.3">
      <c r="A16" s="68"/>
      <c r="B16" s="305" t="s">
        <v>142</v>
      </c>
      <c r="C16" s="307"/>
      <c r="D16" s="137">
        <f t="shared" ref="D16:O16" si="10">SUM(D11:D13)</f>
        <v>21193</v>
      </c>
      <c r="E16" s="137">
        <f t="shared" si="10"/>
        <v>21193</v>
      </c>
      <c r="F16" s="137">
        <f t="shared" si="10"/>
        <v>21193</v>
      </c>
      <c r="G16" s="137">
        <f t="shared" si="10"/>
        <v>21193</v>
      </c>
      <c r="H16" s="137">
        <f t="shared" si="10"/>
        <v>24792</v>
      </c>
      <c r="I16" s="137">
        <f t="shared" si="10"/>
        <v>28391</v>
      </c>
      <c r="J16" s="137">
        <f t="shared" si="10"/>
        <v>28391</v>
      </c>
      <c r="K16" s="137">
        <f t="shared" si="10"/>
        <v>24792</v>
      </c>
      <c r="L16" s="137">
        <f t="shared" si="10"/>
        <v>21193</v>
      </c>
      <c r="M16" s="137">
        <f t="shared" si="10"/>
        <v>24792</v>
      </c>
      <c r="N16" s="137">
        <f t="shared" si="10"/>
        <v>28391</v>
      </c>
      <c r="O16" s="137">
        <f t="shared" si="10"/>
        <v>28391</v>
      </c>
      <c r="P16" s="165">
        <f>SUM(D16:O16)</f>
        <v>293905</v>
      </c>
      <c r="Q16" s="137">
        <f>SUM(Q11:Q13)</f>
        <v>24792</v>
      </c>
      <c r="R16" s="69"/>
    </row>
    <row r="17" spans="1:17" x14ac:dyDescent="0.3">
      <c r="B17" s="97"/>
      <c r="C17" s="97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39"/>
      <c r="Q17" s="116"/>
    </row>
    <row r="18" spans="1:17" x14ac:dyDescent="0.3">
      <c r="A18" s="68"/>
      <c r="B18" s="90" t="s">
        <v>72</v>
      </c>
      <c r="C18" s="120">
        <f>Assumptions!C32</f>
        <v>0.25</v>
      </c>
      <c r="D18" s="141">
        <f>E16*$C$18</f>
        <v>5298.25</v>
      </c>
      <c r="E18" s="257">
        <f t="shared" ref="E18:N18" si="11">F16*$C$18</f>
        <v>5298.25</v>
      </c>
      <c r="F18" s="257">
        <f t="shared" si="11"/>
        <v>5298.25</v>
      </c>
      <c r="G18" s="257">
        <f t="shared" si="11"/>
        <v>6198</v>
      </c>
      <c r="H18" s="257">
        <f t="shared" si="11"/>
        <v>7097.75</v>
      </c>
      <c r="I18" s="257">
        <f t="shared" si="11"/>
        <v>7097.75</v>
      </c>
      <c r="J18" s="257">
        <f t="shared" si="11"/>
        <v>6198</v>
      </c>
      <c r="K18" s="257">
        <f t="shared" si="11"/>
        <v>5298.25</v>
      </c>
      <c r="L18" s="257">
        <f t="shared" si="11"/>
        <v>6198</v>
      </c>
      <c r="M18" s="257">
        <f t="shared" si="11"/>
        <v>7097.75</v>
      </c>
      <c r="N18" s="257">
        <f t="shared" si="11"/>
        <v>7097.75</v>
      </c>
      <c r="O18" s="141">
        <f>Q16*$C$18</f>
        <v>6198</v>
      </c>
      <c r="P18" s="81"/>
      <c r="Q18" s="38"/>
    </row>
    <row r="19" spans="1:17" x14ac:dyDescent="0.3">
      <c r="A19" s="68"/>
      <c r="B19" s="308" t="s">
        <v>73</v>
      </c>
      <c r="C19" s="309"/>
      <c r="D19" s="142">
        <f>'3'!C35</f>
        <v>18000</v>
      </c>
      <c r="E19" s="257">
        <f>D18</f>
        <v>5298.25</v>
      </c>
      <c r="F19" s="257">
        <f t="shared" ref="F19:O19" si="12">E18</f>
        <v>5298.25</v>
      </c>
      <c r="G19" s="257">
        <f t="shared" si="12"/>
        <v>5298.25</v>
      </c>
      <c r="H19" s="257">
        <f t="shared" si="12"/>
        <v>6198</v>
      </c>
      <c r="I19" s="257">
        <f t="shared" si="12"/>
        <v>7097.75</v>
      </c>
      <c r="J19" s="257">
        <f t="shared" si="12"/>
        <v>7097.75</v>
      </c>
      <c r="K19" s="257">
        <f t="shared" si="12"/>
        <v>6198</v>
      </c>
      <c r="L19" s="257">
        <f t="shared" si="12"/>
        <v>5298.25</v>
      </c>
      <c r="M19" s="257">
        <f t="shared" si="12"/>
        <v>6198</v>
      </c>
      <c r="N19" s="257">
        <f t="shared" si="12"/>
        <v>7097.75</v>
      </c>
      <c r="O19" s="141">
        <f t="shared" si="12"/>
        <v>7097.75</v>
      </c>
      <c r="P19" s="81"/>
      <c r="Q19" s="38"/>
    </row>
    <row r="20" spans="1:17" x14ac:dyDescent="0.3">
      <c r="B20" s="305" t="s">
        <v>74</v>
      </c>
      <c r="C20" s="307"/>
      <c r="D20" s="137">
        <f>D16+D18-D19</f>
        <v>8491.25</v>
      </c>
      <c r="E20" s="137">
        <f>E16+E18-E19</f>
        <v>21193</v>
      </c>
      <c r="F20" s="137">
        <f t="shared" ref="F20:O20" si="13">F16+F18-F19</f>
        <v>21193</v>
      </c>
      <c r="G20" s="137">
        <f t="shared" si="13"/>
        <v>22092.75</v>
      </c>
      <c r="H20" s="137">
        <f t="shared" si="13"/>
        <v>25691.75</v>
      </c>
      <c r="I20" s="137">
        <f t="shared" si="13"/>
        <v>28391</v>
      </c>
      <c r="J20" s="137">
        <f t="shared" si="13"/>
        <v>27491.25</v>
      </c>
      <c r="K20" s="137">
        <f t="shared" si="13"/>
        <v>23892.25</v>
      </c>
      <c r="L20" s="137">
        <f t="shared" si="13"/>
        <v>22092.75</v>
      </c>
      <c r="M20" s="137">
        <f t="shared" si="13"/>
        <v>25691.75</v>
      </c>
      <c r="N20" s="137">
        <f t="shared" si="13"/>
        <v>28391</v>
      </c>
      <c r="O20" s="137">
        <f t="shared" si="13"/>
        <v>27491.25</v>
      </c>
      <c r="P20" s="38"/>
      <c r="Q20" s="38"/>
    </row>
    <row r="21" spans="1:17" ht="16.2" customHeight="1" x14ac:dyDescent="0.3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 ht="15.6" x14ac:dyDescent="0.3">
      <c r="B22" s="310" t="s">
        <v>197</v>
      </c>
      <c r="C22" s="311"/>
      <c r="D22" s="87" t="str">
        <f>Assumptions!$C$12</f>
        <v>Jul</v>
      </c>
      <c r="E22" s="87" t="str">
        <f>Assumptions!$D$12</f>
        <v>Aug</v>
      </c>
      <c r="F22" s="87" t="str">
        <f>Assumptions!$E$12</f>
        <v>Sep</v>
      </c>
      <c r="G22" s="87" t="str">
        <f>Assumptions!$F$12</f>
        <v>Oct</v>
      </c>
      <c r="H22" s="87" t="str">
        <f>Assumptions!$G$12</f>
        <v>Nov</v>
      </c>
      <c r="I22" s="87" t="str">
        <f>Assumptions!$H$12</f>
        <v>Dec</v>
      </c>
      <c r="J22" s="87" t="str">
        <f>Assumptions!$I$12</f>
        <v>Jan</v>
      </c>
      <c r="K22" s="87" t="str">
        <f>Assumptions!$J$12</f>
        <v>Feb</v>
      </c>
      <c r="L22" s="87" t="str">
        <f>Assumptions!$K$12</f>
        <v>Mar</v>
      </c>
      <c r="M22" s="87" t="str">
        <f>Assumptions!$L$12</f>
        <v>Apr</v>
      </c>
      <c r="N22" s="87" t="str">
        <f>Assumptions!$M$12</f>
        <v>May</v>
      </c>
      <c r="O22" s="87" t="str">
        <f>Assumptions!$N$12</f>
        <v>Jun</v>
      </c>
      <c r="P22" s="87" t="s">
        <v>18</v>
      </c>
      <c r="Q22" s="38"/>
    </row>
    <row r="23" spans="1:17" x14ac:dyDescent="0.3">
      <c r="B23" s="38" t="s">
        <v>143</v>
      </c>
      <c r="C23" s="45">
        <f>Assumptions!C27</f>
        <v>0.2</v>
      </c>
      <c r="D23" s="178">
        <f t="shared" ref="D23:O23" si="14">$C$23*D20</f>
        <v>1698.25</v>
      </c>
      <c r="E23" s="178">
        <f t="shared" si="14"/>
        <v>4238.6000000000004</v>
      </c>
      <c r="F23" s="178">
        <f t="shared" si="14"/>
        <v>4238.6000000000004</v>
      </c>
      <c r="G23" s="178">
        <f t="shared" si="14"/>
        <v>4418.55</v>
      </c>
      <c r="H23" s="178">
        <f t="shared" si="14"/>
        <v>5138.3500000000004</v>
      </c>
      <c r="I23" s="178">
        <f t="shared" si="14"/>
        <v>5678.2000000000007</v>
      </c>
      <c r="J23" s="178">
        <f t="shared" si="14"/>
        <v>5498.25</v>
      </c>
      <c r="K23" s="178">
        <f t="shared" si="14"/>
        <v>4778.45</v>
      </c>
      <c r="L23" s="178">
        <f t="shared" si="14"/>
        <v>4418.55</v>
      </c>
      <c r="M23" s="178">
        <f t="shared" si="14"/>
        <v>5138.3500000000004</v>
      </c>
      <c r="N23" s="178">
        <f t="shared" si="14"/>
        <v>5678.2000000000007</v>
      </c>
      <c r="O23" s="178">
        <f t="shared" si="14"/>
        <v>5498.25</v>
      </c>
      <c r="P23" s="166">
        <f>SUM(D23:O23)</f>
        <v>56420.600000000006</v>
      </c>
      <c r="Q23" s="38"/>
    </row>
    <row r="24" spans="1:17" x14ac:dyDescent="0.3">
      <c r="B24" s="38" t="s">
        <v>144</v>
      </c>
      <c r="C24" s="45">
        <f>Assumptions!C28</f>
        <v>0.8</v>
      </c>
      <c r="D24" s="178">
        <f>C35</f>
        <v>18000</v>
      </c>
      <c r="E24" s="178">
        <f t="shared" ref="E24:O24" si="15">$C$24*D20</f>
        <v>6793</v>
      </c>
      <c r="F24" s="178">
        <f t="shared" si="15"/>
        <v>16954.400000000001</v>
      </c>
      <c r="G24" s="178">
        <f t="shared" si="15"/>
        <v>16954.400000000001</v>
      </c>
      <c r="H24" s="178">
        <f t="shared" si="15"/>
        <v>17674.2</v>
      </c>
      <c r="I24" s="178">
        <f t="shared" si="15"/>
        <v>20553.400000000001</v>
      </c>
      <c r="J24" s="178">
        <f t="shared" si="15"/>
        <v>22712.800000000003</v>
      </c>
      <c r="K24" s="178">
        <f t="shared" si="15"/>
        <v>21993</v>
      </c>
      <c r="L24" s="178">
        <f t="shared" si="15"/>
        <v>19113.8</v>
      </c>
      <c r="M24" s="178">
        <f t="shared" si="15"/>
        <v>17674.2</v>
      </c>
      <c r="N24" s="178">
        <f t="shared" si="15"/>
        <v>20553.400000000001</v>
      </c>
      <c r="O24" s="178">
        <f t="shared" si="15"/>
        <v>22712.800000000003</v>
      </c>
      <c r="P24" s="166">
        <f>SUM(D24:O24)</f>
        <v>221689.40000000002</v>
      </c>
      <c r="Q24" s="38"/>
    </row>
    <row r="25" spans="1:17" x14ac:dyDescent="0.3">
      <c r="A25" s="66"/>
      <c r="B25" s="111" t="s">
        <v>145</v>
      </c>
      <c r="C25" s="138"/>
      <c r="D25" s="112">
        <f>D23+D24</f>
        <v>19698.25</v>
      </c>
      <c r="E25" s="112">
        <f t="shared" ref="E25:P25" si="16">E23+E24</f>
        <v>11031.6</v>
      </c>
      <c r="F25" s="112">
        <f t="shared" si="16"/>
        <v>21193</v>
      </c>
      <c r="G25" s="112">
        <f t="shared" si="16"/>
        <v>21372.95</v>
      </c>
      <c r="H25" s="112">
        <f t="shared" si="16"/>
        <v>22812.550000000003</v>
      </c>
      <c r="I25" s="112">
        <f t="shared" si="16"/>
        <v>26231.600000000002</v>
      </c>
      <c r="J25" s="112">
        <f t="shared" si="16"/>
        <v>28211.050000000003</v>
      </c>
      <c r="K25" s="112">
        <f t="shared" si="16"/>
        <v>26771.45</v>
      </c>
      <c r="L25" s="112">
        <f t="shared" si="16"/>
        <v>23532.35</v>
      </c>
      <c r="M25" s="112">
        <f t="shared" si="16"/>
        <v>22812.550000000003</v>
      </c>
      <c r="N25" s="112">
        <f t="shared" si="16"/>
        <v>26231.600000000002</v>
      </c>
      <c r="O25" s="112">
        <f t="shared" si="16"/>
        <v>28211.050000000003</v>
      </c>
      <c r="P25" s="167">
        <f t="shared" si="16"/>
        <v>278110</v>
      </c>
    </row>
    <row r="27" spans="1:17" ht="15.6" x14ac:dyDescent="0.3">
      <c r="B27" s="133" t="s">
        <v>202</v>
      </c>
      <c r="C27" s="87" t="s">
        <v>140</v>
      </c>
      <c r="D27" s="87" t="str">
        <f>Assumptions!$C$12</f>
        <v>Jul</v>
      </c>
      <c r="E27" s="87" t="str">
        <f>Assumptions!$D$12</f>
        <v>Aug</v>
      </c>
      <c r="F27" s="87" t="str">
        <f>Assumptions!$E$12</f>
        <v>Sep</v>
      </c>
      <c r="G27" s="87" t="str">
        <f>Assumptions!$F$12</f>
        <v>Oct</v>
      </c>
      <c r="H27" s="87" t="str">
        <f>Assumptions!$G$12</f>
        <v>Nov</v>
      </c>
      <c r="I27" s="87" t="str">
        <f>Assumptions!$H$12</f>
        <v>Dec</v>
      </c>
      <c r="J27" s="87" t="str">
        <f>Assumptions!$I$12</f>
        <v>Jan</v>
      </c>
      <c r="K27" s="87" t="str">
        <f>Assumptions!$J$12</f>
        <v>Feb</v>
      </c>
      <c r="L27" s="87" t="str">
        <f>Assumptions!$K$12</f>
        <v>Mar</v>
      </c>
      <c r="M27" s="87" t="str">
        <f>Assumptions!$L$12</f>
        <v>Apr</v>
      </c>
      <c r="N27" s="87" t="str">
        <f>Assumptions!$M$12</f>
        <v>May</v>
      </c>
      <c r="O27" s="87" t="str">
        <f>Assumptions!$N$12</f>
        <v>Jun</v>
      </c>
      <c r="P27" s="87" t="s">
        <v>18</v>
      </c>
    </row>
    <row r="28" spans="1:17" x14ac:dyDescent="0.3">
      <c r="B28" s="135" t="str">
        <f>Assumptions!B5</f>
        <v>Photocopier - Kyco 809 ci</v>
      </c>
      <c r="C28" s="130">
        <f>Assumptions!D5</f>
        <v>230</v>
      </c>
      <c r="D28" s="160">
        <f>$C$28*'1'!D4</f>
        <v>4600</v>
      </c>
      <c r="E28" s="258">
        <f>$C$28*'1'!E4</f>
        <v>4600</v>
      </c>
      <c r="F28" s="258">
        <f>$C$28*'1'!F4</f>
        <v>4600</v>
      </c>
      <c r="G28" s="258">
        <f>$C$28*'1'!G4</f>
        <v>4600</v>
      </c>
      <c r="H28" s="258">
        <f>$C$28*'1'!H4</f>
        <v>4600</v>
      </c>
      <c r="I28" s="258">
        <f>$C$28*'1'!I4</f>
        <v>6900</v>
      </c>
      <c r="J28" s="258">
        <f>$C$28*'1'!J4</f>
        <v>6900</v>
      </c>
      <c r="K28" s="258">
        <f>$C$28*'1'!K4</f>
        <v>6900</v>
      </c>
      <c r="L28" s="258">
        <f>$C$28*'1'!L4</f>
        <v>4600</v>
      </c>
      <c r="M28" s="258">
        <f>$C$28*'1'!M4</f>
        <v>4600</v>
      </c>
      <c r="N28" s="258">
        <f>$C$28*'1'!N4</f>
        <v>6900</v>
      </c>
      <c r="O28" s="258">
        <f>$C$28*'1'!O4</f>
        <v>6900</v>
      </c>
      <c r="P28" s="162">
        <f>SUM(D28:O28)</f>
        <v>66700</v>
      </c>
    </row>
    <row r="29" spans="1:17" x14ac:dyDescent="0.3">
      <c r="B29" s="135" t="str">
        <f>Assumptions!B6</f>
        <v>Photocopier - Monochrome MZ300</v>
      </c>
      <c r="C29" s="130">
        <f>Assumptions!D6</f>
        <v>189.9</v>
      </c>
      <c r="D29" s="160">
        <f>$C$29*'1'!D9</f>
        <v>7596</v>
      </c>
      <c r="E29" s="258">
        <f>$C$29*'1'!E9</f>
        <v>7596</v>
      </c>
      <c r="F29" s="258">
        <f>$C$29*'1'!F9</f>
        <v>7596</v>
      </c>
      <c r="G29" s="258">
        <f>$C$29*'1'!G9</f>
        <v>7596</v>
      </c>
      <c r="H29" s="258">
        <f>$C$29*'1'!H9</f>
        <v>7596</v>
      </c>
      <c r="I29" s="258">
        <f>$C$29*'1'!I9</f>
        <v>9495</v>
      </c>
      <c r="J29" s="258">
        <f>$C$29*'1'!J9</f>
        <v>9495</v>
      </c>
      <c r="K29" s="258">
        <f>$C$29*'1'!K9</f>
        <v>9495</v>
      </c>
      <c r="L29" s="258">
        <f>$C$29*'1'!L9</f>
        <v>7596</v>
      </c>
      <c r="M29" s="258">
        <f>$C$29*'1'!M9</f>
        <v>7596</v>
      </c>
      <c r="N29" s="258">
        <f>$C$29*'1'!N9</f>
        <v>9495</v>
      </c>
      <c r="O29" s="258">
        <f>$C$29*'1'!O9</f>
        <v>9495</v>
      </c>
      <c r="P29" s="162">
        <f t="shared" ref="P29:P32" si="17">SUM(D29:O29)</f>
        <v>100647</v>
      </c>
    </row>
    <row r="30" spans="1:17" x14ac:dyDescent="0.3">
      <c r="B30" s="135" t="str">
        <f>Assumptions!B7</f>
        <v>Multi-function - MFp 200z</v>
      </c>
      <c r="C30" s="130">
        <f>Assumptions!D7</f>
        <v>299.90000000000003</v>
      </c>
      <c r="D30" s="160">
        <f>$C$30*'1'!D14</f>
        <v>8997.0000000000018</v>
      </c>
      <c r="E30" s="258">
        <f>$C$30*'1'!E14</f>
        <v>8997.0000000000018</v>
      </c>
      <c r="F30" s="258">
        <f>$C$30*'1'!F14</f>
        <v>8997.0000000000018</v>
      </c>
      <c r="G30" s="258">
        <f>$C$30*'1'!G14</f>
        <v>8997.0000000000018</v>
      </c>
      <c r="H30" s="258">
        <f>$C$30*'1'!H14</f>
        <v>8997.0000000000018</v>
      </c>
      <c r="I30" s="258">
        <f>$C$30*'1'!I14</f>
        <v>11996.000000000002</v>
      </c>
      <c r="J30" s="258">
        <f>$C$30*'1'!J14</f>
        <v>11996.000000000002</v>
      </c>
      <c r="K30" s="258">
        <f>$C$30*'1'!K14</f>
        <v>11996.000000000002</v>
      </c>
      <c r="L30" s="258">
        <f>$C$30*'1'!L14</f>
        <v>8997.0000000000018</v>
      </c>
      <c r="M30" s="258">
        <f>$C$30*'1'!M14</f>
        <v>8997.0000000000018</v>
      </c>
      <c r="N30" s="258">
        <f>$C$30*'1'!N14</f>
        <v>11996.000000000002</v>
      </c>
      <c r="O30" s="258">
        <f>$C$30*'1'!O14</f>
        <v>11996.000000000002</v>
      </c>
      <c r="P30" s="162">
        <f t="shared" si="17"/>
        <v>122959.00000000001</v>
      </c>
    </row>
    <row r="31" spans="1:17" x14ac:dyDescent="0.3">
      <c r="B31" s="135" t="str">
        <f>Assumptions!B8</f>
        <v>3D printer - RV800</v>
      </c>
      <c r="C31" s="130">
        <f>Assumptions!D8</f>
        <v>57.900000000000006</v>
      </c>
      <c r="D31" s="160">
        <f>$C$31*'1'!D19</f>
        <v>579</v>
      </c>
      <c r="E31" s="258">
        <f>$C$31*'1'!E19</f>
        <v>579</v>
      </c>
      <c r="F31" s="258">
        <f>$C$31*'1'!F19</f>
        <v>579</v>
      </c>
      <c r="G31" s="258">
        <f>$C$31*'1'!G19</f>
        <v>579</v>
      </c>
      <c r="H31" s="258">
        <f>$C$31*'1'!H19</f>
        <v>579</v>
      </c>
      <c r="I31" s="258">
        <f>$C$31*'1'!I19</f>
        <v>1447.5000000000002</v>
      </c>
      <c r="J31" s="258">
        <f>$C$31*'1'!J19</f>
        <v>1447.5000000000002</v>
      </c>
      <c r="K31" s="258">
        <f>$C$31*'1'!K19</f>
        <v>1447.5000000000002</v>
      </c>
      <c r="L31" s="258">
        <f>$C$31*'1'!L19</f>
        <v>579</v>
      </c>
      <c r="M31" s="258">
        <f>$C$31*'1'!M19</f>
        <v>579</v>
      </c>
      <c r="N31" s="258">
        <f>$C$31*'1'!N19</f>
        <v>1447.5000000000002</v>
      </c>
      <c r="O31" s="258">
        <f>$C$31*'1'!O19</f>
        <v>1447.5000000000002</v>
      </c>
      <c r="P31" s="162">
        <f t="shared" si="17"/>
        <v>11290.5</v>
      </c>
    </row>
    <row r="32" spans="1:17" x14ac:dyDescent="0.3">
      <c r="B32" s="135" t="str">
        <f>Assumptions!B9</f>
        <v>Label/barcode printer 6-inch industrial - A200</v>
      </c>
      <c r="C32" s="130">
        <f>Assumptions!D9</f>
        <v>63.6</v>
      </c>
      <c r="D32" s="160">
        <f>$C$32*'1'!D24</f>
        <v>3180</v>
      </c>
      <c r="E32" s="258">
        <f>$C$32*'1'!E24</f>
        <v>3180</v>
      </c>
      <c r="F32" s="258">
        <f>$C$32*'1'!F24</f>
        <v>3180</v>
      </c>
      <c r="G32" s="258">
        <f>$C$32*'1'!G24</f>
        <v>3180</v>
      </c>
      <c r="H32" s="258">
        <f>$C$32*'1'!H24</f>
        <v>3180</v>
      </c>
      <c r="I32" s="258">
        <f>$C$32*'1'!I24</f>
        <v>3816</v>
      </c>
      <c r="J32" s="258">
        <f>$C$32*'1'!J24</f>
        <v>3816</v>
      </c>
      <c r="K32" s="258">
        <f>$C$32*'1'!K24</f>
        <v>3816</v>
      </c>
      <c r="L32" s="258">
        <f>$C$32*'1'!L24</f>
        <v>3180</v>
      </c>
      <c r="M32" s="258">
        <f>$C$32*'1'!M24</f>
        <v>3180</v>
      </c>
      <c r="N32" s="258">
        <f>$C$32*'1'!N24</f>
        <v>3816</v>
      </c>
      <c r="O32" s="258">
        <f>$C$32*'1'!O24</f>
        <v>3816</v>
      </c>
      <c r="P32" s="162">
        <f t="shared" si="17"/>
        <v>41340</v>
      </c>
    </row>
    <row r="33" spans="2:16" x14ac:dyDescent="0.3">
      <c r="B33" s="129" t="s">
        <v>160</v>
      </c>
      <c r="C33" s="135"/>
      <c r="D33" s="161">
        <f>SUM(D28:D32)</f>
        <v>24952</v>
      </c>
      <c r="E33" s="161">
        <f t="shared" ref="E33" si="18">SUM(E28:E32)</f>
        <v>24952</v>
      </c>
      <c r="F33" s="161">
        <f t="shared" ref="F33" si="19">SUM(F28:F32)</f>
        <v>24952</v>
      </c>
      <c r="G33" s="161">
        <f t="shared" ref="G33" si="20">SUM(G28:G32)</f>
        <v>24952</v>
      </c>
      <c r="H33" s="161">
        <f t="shared" ref="H33" si="21">SUM(H28:H32)</f>
        <v>24952</v>
      </c>
      <c r="I33" s="161">
        <f t="shared" ref="I33" si="22">SUM(I28:I32)</f>
        <v>33654.5</v>
      </c>
      <c r="J33" s="161">
        <f t="shared" ref="J33" si="23">SUM(J28:J32)</f>
        <v>33654.5</v>
      </c>
      <c r="K33" s="161">
        <f t="shared" ref="K33" si="24">SUM(K28:K32)</f>
        <v>33654.5</v>
      </c>
      <c r="L33" s="161">
        <f t="shared" ref="L33" si="25">SUM(L28:L32)</f>
        <v>24952</v>
      </c>
      <c r="M33" s="161">
        <f t="shared" ref="M33" si="26">SUM(M28:M32)</f>
        <v>24952</v>
      </c>
      <c r="N33" s="161">
        <f t="shared" ref="N33" si="27">SUM(N28:N32)</f>
        <v>33654.5</v>
      </c>
      <c r="O33" s="161">
        <f t="shared" ref="O33" si="28">SUM(O28:O32)</f>
        <v>33654.5</v>
      </c>
      <c r="P33" s="162">
        <f t="shared" ref="P33" si="29">SUM(P28:P32)</f>
        <v>342936.5</v>
      </c>
    </row>
    <row r="35" spans="2:16" x14ac:dyDescent="0.3">
      <c r="B35" s="259" t="s">
        <v>191</v>
      </c>
      <c r="C35" s="260">
        <v>18000</v>
      </c>
    </row>
  </sheetData>
  <mergeCells count="10">
    <mergeCell ref="B10:C10"/>
    <mergeCell ref="B11:C11"/>
    <mergeCell ref="B12:C12"/>
    <mergeCell ref="B13:C13"/>
    <mergeCell ref="B14:C14"/>
    <mergeCell ref="B15:C15"/>
    <mergeCell ref="B16:C16"/>
    <mergeCell ref="B20:C20"/>
    <mergeCell ref="B19:C19"/>
    <mergeCell ref="B22:C22"/>
  </mergeCells>
  <pageMargins left="0.7" right="0.7" top="0.75" bottom="0.75" header="0.3" footer="0.3"/>
  <pageSetup paperSize="9" scale="57" orientation="landscape" r:id="rId1"/>
  <ignoredErrors>
    <ignoredError sqref="P11:P1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0732-8D1E-4DCD-BD49-99ECA13EE45A}">
  <sheetPr>
    <pageSetUpPr fitToPage="1"/>
  </sheetPr>
  <dimension ref="A1:R44"/>
  <sheetViews>
    <sheetView topLeftCell="A10" zoomScaleNormal="100" workbookViewId="0">
      <selection activeCell="G32" sqref="G32"/>
    </sheetView>
  </sheetViews>
  <sheetFormatPr defaultColWidth="9.109375" defaultRowHeight="14.4" x14ac:dyDescent="0.3"/>
  <cols>
    <col min="1" max="1" width="4.6640625" style="35" customWidth="1"/>
    <col min="2" max="2" width="35.21875" style="35" customWidth="1"/>
    <col min="3" max="3" width="12.5546875" style="35" customWidth="1"/>
    <col min="4" max="4" width="36.33203125" style="35" customWidth="1"/>
    <col min="5" max="5" width="10.88671875" style="35" bestFit="1" customWidth="1"/>
    <col min="6" max="15" width="9.88671875" style="35" bestFit="1" customWidth="1"/>
    <col min="16" max="16" width="10" style="35" bestFit="1" customWidth="1"/>
    <col min="17" max="17" width="10.88671875" style="35" bestFit="1" customWidth="1"/>
    <col min="18" max="16384" width="9.109375" style="35"/>
  </cols>
  <sheetData>
    <row r="1" spans="1:18" ht="15" customHeight="1" x14ac:dyDescent="0.3"/>
    <row r="2" spans="1:18" ht="15.6" x14ac:dyDescent="0.3">
      <c r="B2" s="310" t="s">
        <v>153</v>
      </c>
      <c r="C2" s="314"/>
      <c r="D2" s="311"/>
      <c r="E2" s="87" t="str">
        <f>Assumptions!$C$12</f>
        <v>Jul</v>
      </c>
      <c r="F2" s="87" t="str">
        <f>Assumptions!$D$12</f>
        <v>Aug</v>
      </c>
      <c r="G2" s="87" t="str">
        <f>Assumptions!$E$12</f>
        <v>Sep</v>
      </c>
      <c r="H2" s="87" t="str">
        <f>Assumptions!$F$12</f>
        <v>Oct</v>
      </c>
      <c r="I2" s="87" t="str">
        <f>Assumptions!$G$12</f>
        <v>Nov</v>
      </c>
      <c r="J2" s="87" t="str">
        <f>Assumptions!$H$12</f>
        <v>Dec</v>
      </c>
      <c r="K2" s="87" t="str">
        <f>Assumptions!$I$12</f>
        <v>Jan</v>
      </c>
      <c r="L2" s="87" t="str">
        <f>Assumptions!$J$12</f>
        <v>Feb</v>
      </c>
      <c r="M2" s="87" t="str">
        <f>Assumptions!$K$12</f>
        <v>Mar</v>
      </c>
      <c r="N2" s="87" t="str">
        <f>Assumptions!$L$12</f>
        <v>Apr</v>
      </c>
      <c r="O2" s="87" t="str">
        <f>Assumptions!$M$12</f>
        <v>May</v>
      </c>
      <c r="P2" s="87" t="str">
        <f>Assumptions!$N$12</f>
        <v>Jun</v>
      </c>
      <c r="Q2" s="87" t="s">
        <v>18</v>
      </c>
      <c r="R2" s="53"/>
    </row>
    <row r="3" spans="1:18" x14ac:dyDescent="0.3">
      <c r="B3" s="101" t="s">
        <v>204</v>
      </c>
      <c r="E3" s="49"/>
      <c r="F3" s="49"/>
      <c r="G3" s="49"/>
      <c r="Q3" s="52"/>
    </row>
    <row r="4" spans="1:18" x14ac:dyDescent="0.3">
      <c r="B4" s="263"/>
      <c r="C4" s="63"/>
      <c r="D4" s="63"/>
      <c r="E4" s="264"/>
      <c r="F4" s="264"/>
      <c r="G4" s="264"/>
      <c r="H4" s="63"/>
      <c r="I4" s="63"/>
      <c r="J4" s="63"/>
      <c r="K4" s="63"/>
      <c r="L4" s="63"/>
      <c r="M4" s="63"/>
      <c r="N4" s="63"/>
      <c r="O4" s="63"/>
      <c r="P4" s="63"/>
      <c r="Q4" s="265"/>
    </row>
    <row r="5" spans="1:18" x14ac:dyDescent="0.3">
      <c r="B5" s="146" t="s">
        <v>77</v>
      </c>
      <c r="C5" s="147"/>
      <c r="D5" s="147"/>
      <c r="E5" s="147"/>
      <c r="F5" s="147"/>
      <c r="G5" s="147"/>
      <c r="H5" s="84"/>
      <c r="I5" s="84"/>
      <c r="J5" s="84"/>
      <c r="K5" s="84"/>
      <c r="L5" s="84"/>
      <c r="M5" s="84"/>
      <c r="N5" s="84"/>
      <c r="O5" s="84"/>
      <c r="P5" s="84"/>
      <c r="Q5" s="148"/>
    </row>
    <row r="6" spans="1:18" x14ac:dyDescent="0.3">
      <c r="A6" s="68"/>
      <c r="B6" s="135" t="str">
        <f>'4'!B35</f>
        <v>Indirect Labour</v>
      </c>
      <c r="C6" s="150">
        <f>'4'!C35</f>
        <v>40.799999999999997</v>
      </c>
      <c r="D6" s="130" t="str">
        <f>'4'!D35</f>
        <v>Per machine manufactured</v>
      </c>
      <c r="E6" s="151">
        <f>$C$6*'3'!D8</f>
        <v>6120</v>
      </c>
      <c r="F6" s="261">
        <f>$C$6*'3'!E8</f>
        <v>6120</v>
      </c>
      <c r="G6" s="261">
        <f>$C$6*'3'!F8</f>
        <v>6120</v>
      </c>
      <c r="H6" s="261">
        <f>$C$6*'3'!G8</f>
        <v>6120</v>
      </c>
      <c r="I6" s="261">
        <f>$C$6*'3'!H8</f>
        <v>7241.9999999999991</v>
      </c>
      <c r="J6" s="261">
        <f>$C$6*'3'!I8</f>
        <v>8364</v>
      </c>
      <c r="K6" s="261">
        <f>$C$6*'3'!J8</f>
        <v>8364</v>
      </c>
      <c r="L6" s="261">
        <f>$C$6*'3'!K8</f>
        <v>7241.9999999999991</v>
      </c>
      <c r="M6" s="261">
        <f>$C$6*'3'!L8</f>
        <v>6120</v>
      </c>
      <c r="N6" s="261">
        <f>$C$6*'3'!M8</f>
        <v>7241.9999999999991</v>
      </c>
      <c r="O6" s="261">
        <f>$C$6*'3'!N8</f>
        <v>8364</v>
      </c>
      <c r="P6" s="261">
        <f>$C$6*'3'!O8</f>
        <v>8364</v>
      </c>
      <c r="Q6" s="153">
        <f>SUM(E6:P6)</f>
        <v>85782</v>
      </c>
      <c r="R6" s="69"/>
    </row>
    <row r="7" spans="1:18" x14ac:dyDescent="0.3">
      <c r="A7" s="68"/>
      <c r="B7" s="135" t="str">
        <f>'4'!B36</f>
        <v>Indirect Materials</v>
      </c>
      <c r="C7" s="150">
        <f>'4'!C36</f>
        <v>54.5</v>
      </c>
      <c r="D7" s="130" t="str">
        <f>'4'!D36</f>
        <v>Per machine manufactured</v>
      </c>
      <c r="E7" s="151">
        <f>$C$7*'3'!D8</f>
        <v>8175</v>
      </c>
      <c r="F7" s="261">
        <f>$C$7*'3'!E8</f>
        <v>8175</v>
      </c>
      <c r="G7" s="261">
        <f>$C$7*'3'!F8</f>
        <v>8175</v>
      </c>
      <c r="H7" s="261">
        <f>$C$7*'3'!G8</f>
        <v>8175</v>
      </c>
      <c r="I7" s="261">
        <f>$C$7*'3'!H8</f>
        <v>9673.75</v>
      </c>
      <c r="J7" s="261">
        <f>$C$7*'3'!I8</f>
        <v>11172.5</v>
      </c>
      <c r="K7" s="261">
        <f>$C$7*'3'!J8</f>
        <v>11172.5</v>
      </c>
      <c r="L7" s="261">
        <f>$C$7*'3'!K8</f>
        <v>9673.75</v>
      </c>
      <c r="M7" s="261">
        <f>$C$7*'3'!L8</f>
        <v>8175</v>
      </c>
      <c r="N7" s="261">
        <f>$C$7*'3'!M8</f>
        <v>9673.75</v>
      </c>
      <c r="O7" s="261">
        <f>$C$7*'3'!N8</f>
        <v>11172.5</v>
      </c>
      <c r="P7" s="261">
        <f>$C$7*'3'!O8</f>
        <v>11172.5</v>
      </c>
      <c r="Q7" s="153">
        <f t="shared" ref="Q7:Q9" si="0">SUM(E7:P7)</f>
        <v>114586.25</v>
      </c>
      <c r="R7" s="69"/>
    </row>
    <row r="8" spans="1:18" x14ac:dyDescent="0.3">
      <c r="A8" s="68"/>
      <c r="B8" s="135" t="s">
        <v>163</v>
      </c>
      <c r="C8" s="150">
        <f>Assumptions!E5</f>
        <v>25</v>
      </c>
      <c r="D8" s="130" t="s">
        <v>146</v>
      </c>
      <c r="E8" s="151">
        <f>$C$8*'3'!D8</f>
        <v>3750</v>
      </c>
      <c r="F8" s="261">
        <f>$C$8*'3'!E8</f>
        <v>3750</v>
      </c>
      <c r="G8" s="261">
        <f>$C$8*'3'!F8</f>
        <v>3750</v>
      </c>
      <c r="H8" s="261">
        <f>$C$8*'3'!G8</f>
        <v>3750</v>
      </c>
      <c r="I8" s="261">
        <f>$C$8*'3'!H8</f>
        <v>4437.5</v>
      </c>
      <c r="J8" s="261">
        <f>$C$8*'3'!I8</f>
        <v>5125</v>
      </c>
      <c r="K8" s="261">
        <f>$C$8*'3'!J8</f>
        <v>5125</v>
      </c>
      <c r="L8" s="261">
        <f>$C$8*'3'!K8</f>
        <v>4437.5</v>
      </c>
      <c r="M8" s="261">
        <f>$C$8*'3'!L8</f>
        <v>3750</v>
      </c>
      <c r="N8" s="261">
        <f>$C$8*'3'!M8</f>
        <v>4437.5</v>
      </c>
      <c r="O8" s="261">
        <f>$C$8*'3'!N8</f>
        <v>5125</v>
      </c>
      <c r="P8" s="261">
        <f>$C$8*'3'!O8</f>
        <v>5125</v>
      </c>
      <c r="Q8" s="153">
        <f t="shared" si="0"/>
        <v>52562.5</v>
      </c>
      <c r="R8" s="69"/>
    </row>
    <row r="9" spans="1:18" x14ac:dyDescent="0.3">
      <c r="A9" s="68"/>
      <c r="B9" s="315" t="s">
        <v>147</v>
      </c>
      <c r="C9" s="316"/>
      <c r="D9" s="317"/>
      <c r="E9" s="152">
        <f>SUM(E6:E7)</f>
        <v>14295</v>
      </c>
      <c r="F9" s="152">
        <f t="shared" ref="F9:P9" si="1">SUM(F6:F7)</f>
        <v>14295</v>
      </c>
      <c r="G9" s="152">
        <f t="shared" si="1"/>
        <v>14295</v>
      </c>
      <c r="H9" s="152">
        <f t="shared" si="1"/>
        <v>14295</v>
      </c>
      <c r="I9" s="152">
        <f t="shared" si="1"/>
        <v>16915.75</v>
      </c>
      <c r="J9" s="152">
        <f t="shared" si="1"/>
        <v>19536.5</v>
      </c>
      <c r="K9" s="152">
        <f t="shared" si="1"/>
        <v>19536.5</v>
      </c>
      <c r="L9" s="152">
        <f t="shared" si="1"/>
        <v>16915.75</v>
      </c>
      <c r="M9" s="152">
        <f t="shared" si="1"/>
        <v>14295</v>
      </c>
      <c r="N9" s="152">
        <f t="shared" si="1"/>
        <v>16915.75</v>
      </c>
      <c r="O9" s="152">
        <f t="shared" si="1"/>
        <v>19536.5</v>
      </c>
      <c r="P9" s="152">
        <f t="shared" si="1"/>
        <v>19536.5</v>
      </c>
      <c r="Q9" s="153">
        <f t="shared" si="0"/>
        <v>200368.25</v>
      </c>
      <c r="R9" s="69"/>
    </row>
    <row r="10" spans="1:18" x14ac:dyDescent="0.3">
      <c r="B10" s="85"/>
      <c r="C10" s="149"/>
      <c r="D10" s="149"/>
      <c r="E10" s="149"/>
      <c r="F10" s="149"/>
      <c r="G10" s="149"/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18" x14ac:dyDescent="0.3">
      <c r="B11" s="154" t="s">
        <v>78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148"/>
    </row>
    <row r="12" spans="1:18" x14ac:dyDescent="0.3">
      <c r="A12" s="68"/>
      <c r="B12" s="88" t="str">
        <f>'4'!B30</f>
        <v>Electricty, water and gas</v>
      </c>
      <c r="C12" s="141">
        <f>'4'!C30</f>
        <v>400</v>
      </c>
      <c r="D12" s="155" t="str">
        <f>'4'!D30</f>
        <v>per month, paid quarterly*</v>
      </c>
      <c r="E12" s="141">
        <f>$C$12</f>
        <v>400</v>
      </c>
      <c r="F12" s="257">
        <f t="shared" ref="F12:P12" si="2">$C$12</f>
        <v>400</v>
      </c>
      <c r="G12" s="257">
        <f t="shared" si="2"/>
        <v>400</v>
      </c>
      <c r="H12" s="257">
        <f t="shared" si="2"/>
        <v>400</v>
      </c>
      <c r="I12" s="257">
        <f t="shared" si="2"/>
        <v>400</v>
      </c>
      <c r="J12" s="257">
        <f t="shared" si="2"/>
        <v>400</v>
      </c>
      <c r="K12" s="257">
        <f t="shared" si="2"/>
        <v>400</v>
      </c>
      <c r="L12" s="257">
        <f t="shared" si="2"/>
        <v>400</v>
      </c>
      <c r="M12" s="257">
        <f t="shared" si="2"/>
        <v>400</v>
      </c>
      <c r="N12" s="257">
        <f t="shared" si="2"/>
        <v>400</v>
      </c>
      <c r="O12" s="257">
        <f t="shared" si="2"/>
        <v>400</v>
      </c>
      <c r="P12" s="257">
        <f t="shared" si="2"/>
        <v>400</v>
      </c>
      <c r="Q12" s="156">
        <f>SUM(E12:P12)</f>
        <v>4800</v>
      </c>
      <c r="R12" s="69"/>
    </row>
    <row r="13" spans="1:18" x14ac:dyDescent="0.3">
      <c r="A13" s="68"/>
      <c r="B13" s="88" t="str">
        <f>'4'!B31</f>
        <v>Manufacturing Insurance</v>
      </c>
      <c r="C13" s="141">
        <f>'4'!C31</f>
        <v>14500</v>
      </c>
      <c r="D13" s="155" t="str">
        <f>'4'!D31</f>
        <v>per year, paid annually in July</v>
      </c>
      <c r="E13" s="141">
        <f>$C$13/12</f>
        <v>1208.3333333333333</v>
      </c>
      <c r="F13" s="257">
        <f t="shared" ref="F13:P13" si="3">$C$13/12</f>
        <v>1208.3333333333333</v>
      </c>
      <c r="G13" s="257">
        <f t="shared" si="3"/>
        <v>1208.3333333333333</v>
      </c>
      <c r="H13" s="257">
        <f t="shared" si="3"/>
        <v>1208.3333333333333</v>
      </c>
      <c r="I13" s="257">
        <f t="shared" si="3"/>
        <v>1208.3333333333333</v>
      </c>
      <c r="J13" s="257">
        <f t="shared" si="3"/>
        <v>1208.3333333333333</v>
      </c>
      <c r="K13" s="257">
        <f t="shared" si="3"/>
        <v>1208.3333333333333</v>
      </c>
      <c r="L13" s="257">
        <f t="shared" si="3"/>
        <v>1208.3333333333333</v>
      </c>
      <c r="M13" s="257">
        <f t="shared" si="3"/>
        <v>1208.3333333333333</v>
      </c>
      <c r="N13" s="257">
        <f t="shared" si="3"/>
        <v>1208.3333333333333</v>
      </c>
      <c r="O13" s="257">
        <f t="shared" si="3"/>
        <v>1208.3333333333333</v>
      </c>
      <c r="P13" s="257">
        <f t="shared" si="3"/>
        <v>1208.3333333333333</v>
      </c>
      <c r="Q13" s="156">
        <f t="shared" ref="Q13:Q16" si="4">SUM(E13:P13)</f>
        <v>14500.000000000002</v>
      </c>
      <c r="R13" s="69"/>
    </row>
    <row r="14" spans="1:18" x14ac:dyDescent="0.3">
      <c r="A14" s="68"/>
      <c r="B14" s="88" t="str">
        <f>'4'!B32</f>
        <v>Manufactuirng Team's Salary</v>
      </c>
      <c r="C14" s="141">
        <f>'4'!C32</f>
        <v>400000</v>
      </c>
      <c r="D14" s="155" t="str">
        <f>'4'!D32</f>
        <v>per year, paid monthly</v>
      </c>
      <c r="E14" s="141">
        <f>$C$14/12</f>
        <v>33333.333333333336</v>
      </c>
      <c r="F14" s="257">
        <f t="shared" ref="F14:P14" si="5">$C$14/12</f>
        <v>33333.333333333336</v>
      </c>
      <c r="G14" s="257">
        <f t="shared" si="5"/>
        <v>33333.333333333336</v>
      </c>
      <c r="H14" s="257">
        <f t="shared" si="5"/>
        <v>33333.333333333336</v>
      </c>
      <c r="I14" s="257">
        <f t="shared" si="5"/>
        <v>33333.333333333336</v>
      </c>
      <c r="J14" s="257">
        <f t="shared" si="5"/>
        <v>33333.333333333336</v>
      </c>
      <c r="K14" s="257">
        <f t="shared" si="5"/>
        <v>33333.333333333336</v>
      </c>
      <c r="L14" s="257">
        <f t="shared" si="5"/>
        <v>33333.333333333336</v>
      </c>
      <c r="M14" s="257">
        <f t="shared" si="5"/>
        <v>33333.333333333336</v>
      </c>
      <c r="N14" s="257">
        <f t="shared" si="5"/>
        <v>33333.333333333336</v>
      </c>
      <c r="O14" s="257">
        <f t="shared" si="5"/>
        <v>33333.333333333336</v>
      </c>
      <c r="P14" s="257">
        <f t="shared" si="5"/>
        <v>33333.333333333336</v>
      </c>
      <c r="Q14" s="156">
        <f t="shared" si="4"/>
        <v>399999.99999999994</v>
      </c>
      <c r="R14" s="69"/>
    </row>
    <row r="15" spans="1:18" x14ac:dyDescent="0.3">
      <c r="A15" s="68"/>
      <c r="B15" s="88" t="str">
        <f>'4'!B33</f>
        <v>Factory Maintenance</v>
      </c>
      <c r="C15" s="141">
        <f>'4'!C33</f>
        <v>15000</v>
      </c>
      <c r="D15" s="155" t="str">
        <f>'4'!D33</f>
        <v>per quarter, paid per quarter*</v>
      </c>
      <c r="E15" s="141">
        <f>$C$15/12</f>
        <v>1250</v>
      </c>
      <c r="F15" s="257">
        <f t="shared" ref="F15:P15" si="6">$C$15/12</f>
        <v>1250</v>
      </c>
      <c r="G15" s="257">
        <f t="shared" si="6"/>
        <v>1250</v>
      </c>
      <c r="H15" s="257">
        <f t="shared" si="6"/>
        <v>1250</v>
      </c>
      <c r="I15" s="257">
        <f t="shared" si="6"/>
        <v>1250</v>
      </c>
      <c r="J15" s="257">
        <f t="shared" si="6"/>
        <v>1250</v>
      </c>
      <c r="K15" s="257">
        <f t="shared" si="6"/>
        <v>1250</v>
      </c>
      <c r="L15" s="257">
        <f t="shared" si="6"/>
        <v>1250</v>
      </c>
      <c r="M15" s="257">
        <f t="shared" si="6"/>
        <v>1250</v>
      </c>
      <c r="N15" s="257">
        <f t="shared" si="6"/>
        <v>1250</v>
      </c>
      <c r="O15" s="257">
        <f t="shared" si="6"/>
        <v>1250</v>
      </c>
      <c r="P15" s="257">
        <f t="shared" si="6"/>
        <v>1250</v>
      </c>
      <c r="Q15" s="156">
        <f t="shared" si="4"/>
        <v>15000</v>
      </c>
      <c r="R15" s="69"/>
    </row>
    <row r="16" spans="1:18" x14ac:dyDescent="0.3">
      <c r="A16" s="68"/>
      <c r="B16" s="88" t="str">
        <f>'4'!B34</f>
        <v>Property, Plant and Equipment Depreciation</v>
      </c>
      <c r="C16" s="141">
        <f>'4'!C34</f>
        <v>40000</v>
      </c>
      <c r="D16" s="155" t="str">
        <f>'4'!D34</f>
        <v>per year, evenly through out the year</v>
      </c>
      <c r="E16" s="141">
        <f>$C$16/12</f>
        <v>3333.3333333333335</v>
      </c>
      <c r="F16" s="257">
        <f t="shared" ref="F16:P16" si="7">$C$16/12</f>
        <v>3333.3333333333335</v>
      </c>
      <c r="G16" s="257">
        <f t="shared" si="7"/>
        <v>3333.3333333333335</v>
      </c>
      <c r="H16" s="257">
        <f t="shared" si="7"/>
        <v>3333.3333333333335</v>
      </c>
      <c r="I16" s="257">
        <f t="shared" si="7"/>
        <v>3333.3333333333335</v>
      </c>
      <c r="J16" s="257">
        <f t="shared" si="7"/>
        <v>3333.3333333333335</v>
      </c>
      <c r="K16" s="257">
        <f t="shared" si="7"/>
        <v>3333.3333333333335</v>
      </c>
      <c r="L16" s="257">
        <f t="shared" si="7"/>
        <v>3333.3333333333335</v>
      </c>
      <c r="M16" s="257">
        <f t="shared" si="7"/>
        <v>3333.3333333333335</v>
      </c>
      <c r="N16" s="257">
        <f t="shared" si="7"/>
        <v>3333.3333333333335</v>
      </c>
      <c r="O16" s="257">
        <f t="shared" si="7"/>
        <v>3333.3333333333335</v>
      </c>
      <c r="P16" s="257">
        <f t="shared" si="7"/>
        <v>3333.3333333333335</v>
      </c>
      <c r="Q16" s="156">
        <f t="shared" si="4"/>
        <v>40000</v>
      </c>
      <c r="R16" s="69"/>
    </row>
    <row r="17" spans="1:18" x14ac:dyDescent="0.3">
      <c r="A17" s="68"/>
      <c r="B17" s="315" t="s">
        <v>79</v>
      </c>
      <c r="C17" s="316"/>
      <c r="D17" s="317"/>
      <c r="E17" s="152">
        <f>SUM(E12:E16)</f>
        <v>39525.000000000007</v>
      </c>
      <c r="F17" s="152">
        <f t="shared" ref="F17:Q17" si="8">SUM(F12:F16)</f>
        <v>39525.000000000007</v>
      </c>
      <c r="G17" s="152">
        <f t="shared" si="8"/>
        <v>39525.000000000007</v>
      </c>
      <c r="H17" s="152">
        <f t="shared" si="8"/>
        <v>39525.000000000007</v>
      </c>
      <c r="I17" s="152">
        <f t="shared" si="8"/>
        <v>39525.000000000007</v>
      </c>
      <c r="J17" s="152">
        <f t="shared" si="8"/>
        <v>39525.000000000007</v>
      </c>
      <c r="K17" s="152">
        <f t="shared" si="8"/>
        <v>39525.000000000007</v>
      </c>
      <c r="L17" s="152">
        <f t="shared" si="8"/>
        <v>39525.000000000007</v>
      </c>
      <c r="M17" s="152">
        <f t="shared" si="8"/>
        <v>39525.000000000007</v>
      </c>
      <c r="N17" s="152">
        <f t="shared" si="8"/>
        <v>39525.000000000007</v>
      </c>
      <c r="O17" s="152">
        <f t="shared" si="8"/>
        <v>39525.000000000007</v>
      </c>
      <c r="P17" s="152">
        <f t="shared" si="8"/>
        <v>39525.000000000007</v>
      </c>
      <c r="Q17" s="153">
        <f t="shared" si="8"/>
        <v>474299.99999999994</v>
      </c>
      <c r="R17" s="69"/>
    </row>
    <row r="18" spans="1:18" x14ac:dyDescent="0.3"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20" spans="1:18" ht="15.6" x14ac:dyDescent="0.3">
      <c r="B20" s="310" t="s">
        <v>154</v>
      </c>
      <c r="C20" s="314"/>
      <c r="D20" s="311"/>
      <c r="E20" s="87" t="str">
        <f>Assumptions!$C$12</f>
        <v>Jul</v>
      </c>
      <c r="F20" s="87" t="str">
        <f>Assumptions!$D$12</f>
        <v>Aug</v>
      </c>
      <c r="G20" s="87" t="str">
        <f>Assumptions!$E$12</f>
        <v>Sep</v>
      </c>
      <c r="H20" s="87" t="str">
        <f>Assumptions!$F$12</f>
        <v>Oct</v>
      </c>
      <c r="I20" s="87" t="str">
        <f>Assumptions!$G$12</f>
        <v>Nov</v>
      </c>
      <c r="J20" s="87" t="str">
        <f>Assumptions!$H$12</f>
        <v>Dec</v>
      </c>
      <c r="K20" s="87" t="str">
        <f>Assumptions!$I$12</f>
        <v>Jan</v>
      </c>
      <c r="L20" s="87" t="str">
        <f>Assumptions!$J$12</f>
        <v>Feb</v>
      </c>
      <c r="M20" s="87" t="str">
        <f>Assumptions!$K$12</f>
        <v>Mar</v>
      </c>
      <c r="N20" s="87" t="str">
        <f>Assumptions!$L$12</f>
        <v>Apr</v>
      </c>
      <c r="O20" s="87" t="str">
        <f>Assumptions!$M$12</f>
        <v>May</v>
      </c>
      <c r="P20" s="87" t="str">
        <f>Assumptions!$N$12</f>
        <v>Jun</v>
      </c>
      <c r="Q20" s="87" t="s">
        <v>18</v>
      </c>
    </row>
    <row r="21" spans="1:18" ht="15" customHeight="1" x14ac:dyDescent="0.4">
      <c r="B21" s="46"/>
    </row>
    <row r="22" spans="1:18" x14ac:dyDescent="0.3">
      <c r="B22" s="88" t="str">
        <f>'4'!B40</f>
        <v>Electricty, water and gas</v>
      </c>
      <c r="C22" s="141">
        <f>'4'!C40</f>
        <v>500</v>
      </c>
      <c r="D22" s="88" t="str">
        <f>'4'!D40</f>
        <v>per month, paid quarterly*</v>
      </c>
      <c r="E22" s="141">
        <f>'4'!$C$40</f>
        <v>500</v>
      </c>
      <c r="F22" s="262">
        <f>'4'!$C$40</f>
        <v>500</v>
      </c>
      <c r="G22" s="257">
        <f>'4'!$C$40</f>
        <v>500</v>
      </c>
      <c r="H22" s="257">
        <f>'4'!$C$40</f>
        <v>500</v>
      </c>
      <c r="I22" s="257">
        <f>'4'!$C$40</f>
        <v>500</v>
      </c>
      <c r="J22" s="257">
        <f>'4'!$C$40</f>
        <v>500</v>
      </c>
      <c r="K22" s="257">
        <f>'4'!$C$40</f>
        <v>500</v>
      </c>
      <c r="L22" s="257">
        <f>'4'!$C$40</f>
        <v>500</v>
      </c>
      <c r="M22" s="257">
        <f>'4'!$C$40</f>
        <v>500</v>
      </c>
      <c r="N22" s="257">
        <f>'4'!$C$40</f>
        <v>500</v>
      </c>
      <c r="O22" s="257">
        <f>'4'!$C$40</f>
        <v>500</v>
      </c>
      <c r="P22" s="257">
        <f>'4'!$C$40</f>
        <v>500</v>
      </c>
      <c r="Q22" s="156">
        <f>SUM(E22:P22)</f>
        <v>6000</v>
      </c>
    </row>
    <row r="23" spans="1:18" x14ac:dyDescent="0.3">
      <c r="B23" s="88" t="str">
        <f>'4'!B41</f>
        <v>Business Insurance</v>
      </c>
      <c r="C23" s="141">
        <f>'4'!C41</f>
        <v>25000</v>
      </c>
      <c r="D23" s="88" t="str">
        <f>'4'!D41</f>
        <v>per year, paid annualy in Oct</v>
      </c>
      <c r="E23" s="141">
        <f>'4'!$C$23/12</f>
        <v>2083.3333333333335</v>
      </c>
      <c r="F23" s="257">
        <f>'4'!$C$23/12</f>
        <v>2083.3333333333335</v>
      </c>
      <c r="G23" s="257">
        <f>'4'!$C$23/12</f>
        <v>2083.3333333333335</v>
      </c>
      <c r="H23" s="257">
        <f>'4'!$C$23/12</f>
        <v>2083.3333333333335</v>
      </c>
      <c r="I23" s="257">
        <f>'4'!$C$23/12</f>
        <v>2083.3333333333335</v>
      </c>
      <c r="J23" s="257">
        <f>'4'!$C$23/12</f>
        <v>2083.3333333333335</v>
      </c>
      <c r="K23" s="257">
        <f>'4'!$C$23/12</f>
        <v>2083.3333333333335</v>
      </c>
      <c r="L23" s="257">
        <f>'4'!$C$23/12</f>
        <v>2083.3333333333335</v>
      </c>
      <c r="M23" s="257">
        <f>'4'!$C$23/12</f>
        <v>2083.3333333333335</v>
      </c>
      <c r="N23" s="257">
        <f>'4'!$C$23/12</f>
        <v>2083.3333333333335</v>
      </c>
      <c r="O23" s="257">
        <f>'4'!$C$23/12</f>
        <v>2083.3333333333335</v>
      </c>
      <c r="P23" s="257">
        <f>'4'!$C$23/12</f>
        <v>2083.3333333333335</v>
      </c>
      <c r="Q23" s="156">
        <f>SUM(E23:P23)</f>
        <v>24999.999999999996</v>
      </c>
    </row>
    <row r="24" spans="1:18" x14ac:dyDescent="0.3">
      <c r="B24" s="88" t="str">
        <f>'4'!B42</f>
        <v>Administrative Wages</v>
      </c>
      <c r="C24" s="141">
        <f>'4'!C42</f>
        <v>8000</v>
      </c>
      <c r="D24" s="88" t="str">
        <f>'4'!D42</f>
        <v>per month, paid monthly</v>
      </c>
      <c r="E24" s="141">
        <f>'4'!$C$42</f>
        <v>8000</v>
      </c>
      <c r="F24" s="262">
        <f>'4'!$C$42</f>
        <v>8000</v>
      </c>
      <c r="G24" s="257">
        <f>'4'!$C$42</f>
        <v>8000</v>
      </c>
      <c r="H24" s="257">
        <f>'4'!$C$42</f>
        <v>8000</v>
      </c>
      <c r="I24" s="257">
        <f>'4'!$C$42</f>
        <v>8000</v>
      </c>
      <c r="J24" s="257">
        <f>'4'!$C$42</f>
        <v>8000</v>
      </c>
      <c r="K24" s="257">
        <f>'4'!$C$42</f>
        <v>8000</v>
      </c>
      <c r="L24" s="257">
        <f>'4'!$C$42</f>
        <v>8000</v>
      </c>
      <c r="M24" s="257">
        <f>'4'!$C$42</f>
        <v>8000</v>
      </c>
      <c r="N24" s="257">
        <f>'4'!$C$42</f>
        <v>8000</v>
      </c>
      <c r="O24" s="257">
        <f>'4'!$C$42</f>
        <v>8000</v>
      </c>
      <c r="P24" s="257">
        <f>'4'!$C$42</f>
        <v>8000</v>
      </c>
      <c r="Q24" s="156">
        <f>SUM(E24:P24)</f>
        <v>96000</v>
      </c>
    </row>
    <row r="25" spans="1:18" x14ac:dyDescent="0.3">
      <c r="B25" s="88" t="str">
        <f>'4'!B43</f>
        <v>General Office Expenses</v>
      </c>
      <c r="C25" s="141">
        <f>'4'!C43</f>
        <v>500</v>
      </c>
      <c r="D25" s="88" t="str">
        <f>'4'!D43</f>
        <v>per month, paid monthly</v>
      </c>
      <c r="E25" s="141">
        <f>'4'!$C$43</f>
        <v>500</v>
      </c>
      <c r="F25" s="262">
        <f>'4'!$C$43</f>
        <v>500</v>
      </c>
      <c r="G25" s="257">
        <f>'4'!$C$43</f>
        <v>500</v>
      </c>
      <c r="H25" s="257">
        <f>'4'!$C$43</f>
        <v>500</v>
      </c>
      <c r="I25" s="257">
        <f>'4'!$C$43</f>
        <v>500</v>
      </c>
      <c r="J25" s="257">
        <f>'4'!$C$43</f>
        <v>500</v>
      </c>
      <c r="K25" s="257">
        <f>'4'!$C$43</f>
        <v>500</v>
      </c>
      <c r="L25" s="257">
        <f>'4'!$C$43</f>
        <v>500</v>
      </c>
      <c r="M25" s="257">
        <f>'4'!$C$43</f>
        <v>500</v>
      </c>
      <c r="N25" s="257">
        <f>'4'!$C$43</f>
        <v>500</v>
      </c>
      <c r="O25" s="257">
        <f>'4'!$C$43</f>
        <v>500</v>
      </c>
      <c r="P25" s="257">
        <f>'4'!$C$43</f>
        <v>500</v>
      </c>
      <c r="Q25" s="156">
        <f>SUM(E25:P25)</f>
        <v>6000</v>
      </c>
    </row>
    <row r="26" spans="1:18" x14ac:dyDescent="0.3">
      <c r="B26" s="315" t="s">
        <v>80</v>
      </c>
      <c r="C26" s="316"/>
      <c r="D26" s="317"/>
      <c r="E26" s="152">
        <f t="shared" ref="E26:P26" ca="1" si="9">SUM(E22:E26)</f>
        <v>3650</v>
      </c>
      <c r="F26" s="152">
        <f t="shared" ca="1" si="9"/>
        <v>3650</v>
      </c>
      <c r="G26" s="152">
        <f t="shared" ca="1" si="9"/>
        <v>3650</v>
      </c>
      <c r="H26" s="152">
        <f t="shared" ca="1" si="9"/>
        <v>28650</v>
      </c>
      <c r="I26" s="152">
        <f t="shared" ca="1" si="9"/>
        <v>3650</v>
      </c>
      <c r="J26" s="152">
        <f t="shared" ca="1" si="9"/>
        <v>3650</v>
      </c>
      <c r="K26" s="152">
        <f t="shared" ca="1" si="9"/>
        <v>3650</v>
      </c>
      <c r="L26" s="152">
        <f t="shared" ca="1" si="9"/>
        <v>3650</v>
      </c>
      <c r="M26" s="152">
        <f t="shared" ca="1" si="9"/>
        <v>3650</v>
      </c>
      <c r="N26" s="152">
        <f t="shared" ca="1" si="9"/>
        <v>3650</v>
      </c>
      <c r="O26" s="152">
        <f t="shared" ca="1" si="9"/>
        <v>3650</v>
      </c>
      <c r="P26" s="152">
        <f t="shared" ca="1" si="9"/>
        <v>3650</v>
      </c>
      <c r="Q26" s="153">
        <f ca="1">SUM(E26:P26)</f>
        <v>246000</v>
      </c>
    </row>
    <row r="28" spans="1:18" x14ac:dyDescent="0.3">
      <c r="B28" s="237" t="s">
        <v>190</v>
      </c>
    </row>
    <row r="29" spans="1:18" x14ac:dyDescent="0.3">
      <c r="B29" s="98" t="s">
        <v>114</v>
      </c>
      <c r="C29" s="98" t="s">
        <v>75</v>
      </c>
      <c r="D29" s="98" t="s">
        <v>115</v>
      </c>
      <c r="E29" s="98" t="s">
        <v>116</v>
      </c>
    </row>
    <row r="30" spans="1:18" x14ac:dyDescent="0.3">
      <c r="B30" s="88" t="s">
        <v>117</v>
      </c>
      <c r="C30" s="96">
        <v>400</v>
      </c>
      <c r="D30" s="238" t="s">
        <v>198</v>
      </c>
      <c r="E30" s="89" t="s">
        <v>59</v>
      </c>
    </row>
    <row r="31" spans="1:18" x14ac:dyDescent="0.3">
      <c r="B31" s="90" t="s">
        <v>118</v>
      </c>
      <c r="C31" s="96">
        <v>14500</v>
      </c>
      <c r="D31" s="239" t="s">
        <v>150</v>
      </c>
      <c r="E31" s="89" t="s">
        <v>59</v>
      </c>
    </row>
    <row r="32" spans="1:18" x14ac:dyDescent="0.3">
      <c r="B32" s="90" t="s">
        <v>203</v>
      </c>
      <c r="C32" s="96">
        <v>400000</v>
      </c>
      <c r="D32" s="239" t="s">
        <v>149</v>
      </c>
      <c r="E32" s="89" t="s">
        <v>59</v>
      </c>
    </row>
    <row r="33" spans="2:5" x14ac:dyDescent="0.3">
      <c r="B33" s="90" t="s">
        <v>60</v>
      </c>
      <c r="C33" s="89">
        <v>15000</v>
      </c>
      <c r="D33" s="238" t="s">
        <v>199</v>
      </c>
      <c r="E33" s="89" t="s">
        <v>59</v>
      </c>
    </row>
    <row r="34" spans="2:5" x14ac:dyDescent="0.3">
      <c r="B34" s="90" t="s">
        <v>61</v>
      </c>
      <c r="C34" s="89">
        <v>40000</v>
      </c>
      <c r="D34" s="239" t="s">
        <v>151</v>
      </c>
      <c r="E34" s="89" t="s">
        <v>59</v>
      </c>
    </row>
    <row r="35" spans="2:5" x14ac:dyDescent="0.3">
      <c r="B35" s="88" t="s">
        <v>56</v>
      </c>
      <c r="C35" s="96">
        <v>40.799999999999997</v>
      </c>
      <c r="D35" s="238" t="s">
        <v>200</v>
      </c>
      <c r="E35" s="89" t="s">
        <v>57</v>
      </c>
    </row>
    <row r="36" spans="2:5" x14ac:dyDescent="0.3">
      <c r="B36" s="88" t="s">
        <v>58</v>
      </c>
      <c r="C36" s="96">
        <v>54.5</v>
      </c>
      <c r="D36" s="238" t="s">
        <v>200</v>
      </c>
      <c r="E36" s="89" t="s">
        <v>57</v>
      </c>
    </row>
    <row r="37" spans="2:5" x14ac:dyDescent="0.3">
      <c r="B37" s="101" t="s">
        <v>113</v>
      </c>
      <c r="C37" s="85"/>
      <c r="D37" s="85"/>
      <c r="E37" s="85"/>
    </row>
    <row r="39" spans="2:5" x14ac:dyDescent="0.3">
      <c r="B39" s="98" t="s">
        <v>62</v>
      </c>
      <c r="C39" s="98" t="s">
        <v>75</v>
      </c>
      <c r="D39" s="98" t="s">
        <v>115</v>
      </c>
    </row>
    <row r="40" spans="2:5" x14ac:dyDescent="0.3">
      <c r="B40" s="88" t="s">
        <v>117</v>
      </c>
      <c r="C40" s="96">
        <v>500</v>
      </c>
      <c r="D40" s="238" t="s">
        <v>198</v>
      </c>
    </row>
    <row r="41" spans="2:5" x14ac:dyDescent="0.3">
      <c r="B41" s="88" t="s">
        <v>119</v>
      </c>
      <c r="C41" s="96">
        <v>25000</v>
      </c>
      <c r="D41" s="239" t="s">
        <v>155</v>
      </c>
    </row>
    <row r="42" spans="2:5" x14ac:dyDescent="0.3">
      <c r="B42" s="88" t="s">
        <v>63</v>
      </c>
      <c r="C42" s="96">
        <v>8000</v>
      </c>
      <c r="D42" s="238" t="s">
        <v>201</v>
      </c>
    </row>
    <row r="43" spans="2:5" x14ac:dyDescent="0.3">
      <c r="B43" s="88" t="s">
        <v>64</v>
      </c>
      <c r="C43" s="96">
        <v>500</v>
      </c>
      <c r="D43" s="238" t="s">
        <v>201</v>
      </c>
    </row>
    <row r="44" spans="2:5" x14ac:dyDescent="0.3">
      <c r="B44" s="101" t="s">
        <v>113</v>
      </c>
    </row>
  </sheetData>
  <mergeCells count="5">
    <mergeCell ref="B2:D2"/>
    <mergeCell ref="B9:D9"/>
    <mergeCell ref="B17:D17"/>
    <mergeCell ref="B20:D20"/>
    <mergeCell ref="B26:D26"/>
  </mergeCells>
  <pageMargins left="0.7" right="0.7" top="0.75" bottom="0.75" header="0.3" footer="0.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0E308-B05E-44FF-B07C-8CD2D7C47361}">
  <sheetPr>
    <pageSetUpPr fitToPage="1"/>
  </sheetPr>
  <dimension ref="A2:E20"/>
  <sheetViews>
    <sheetView zoomScaleNormal="100" workbookViewId="0">
      <selection activeCell="D33" sqref="D33"/>
    </sheetView>
  </sheetViews>
  <sheetFormatPr defaultColWidth="9.109375" defaultRowHeight="14.4" x14ac:dyDescent="0.3"/>
  <cols>
    <col min="1" max="1" width="9.109375" style="35"/>
    <col min="2" max="2" width="38.33203125" style="35" customWidth="1"/>
    <col min="3" max="3" width="10.88671875" style="35" bestFit="1" customWidth="1"/>
    <col min="4" max="4" width="13.44140625" style="35" bestFit="1" customWidth="1"/>
    <col min="5" max="16384" width="9.109375" style="35"/>
  </cols>
  <sheetData>
    <row r="2" spans="1:5" ht="21" x14ac:dyDescent="0.4">
      <c r="B2" s="158" t="str">
        <f>Cover!C15</f>
        <v xml:space="preserve">Budgeted Income Statement </v>
      </c>
      <c r="C2" s="63"/>
      <c r="D2" s="63"/>
    </row>
    <row r="3" spans="1:5" x14ac:dyDescent="0.3">
      <c r="A3" s="68"/>
      <c r="E3" s="69"/>
    </row>
    <row r="4" spans="1:5" ht="15.6" x14ac:dyDescent="0.3">
      <c r="A4" s="68"/>
      <c r="B4" s="318" t="s">
        <v>158</v>
      </c>
      <c r="C4" s="319"/>
      <c r="D4" s="320"/>
      <c r="E4" s="69"/>
    </row>
    <row r="5" spans="1:5" ht="15.6" x14ac:dyDescent="0.3">
      <c r="A5" s="68"/>
      <c r="B5" s="321" t="s">
        <v>81</v>
      </c>
      <c r="C5" s="322"/>
      <c r="D5" s="323"/>
      <c r="E5" s="69"/>
    </row>
    <row r="6" spans="1:5" ht="15.6" x14ac:dyDescent="0.3">
      <c r="A6" s="68"/>
      <c r="B6" s="324" t="s">
        <v>159</v>
      </c>
      <c r="C6" s="325"/>
      <c r="D6" s="326"/>
      <c r="E6" s="69"/>
    </row>
    <row r="7" spans="1:5" x14ac:dyDescent="0.3">
      <c r="B7" s="66" t="s">
        <v>82</v>
      </c>
      <c r="C7" s="159"/>
      <c r="D7" s="168">
        <f>'1'!P28</f>
        <v>2903060</v>
      </c>
    </row>
    <row r="8" spans="1:5" x14ac:dyDescent="0.3">
      <c r="B8" s="67" t="s">
        <v>83</v>
      </c>
      <c r="C8" s="54"/>
      <c r="D8" s="169">
        <f>'4'!Q9+'4'!Q17+'3'!P33</f>
        <v>1017604.75</v>
      </c>
    </row>
    <row r="9" spans="1:5" x14ac:dyDescent="0.3">
      <c r="B9" s="53" t="s">
        <v>84</v>
      </c>
      <c r="C9" s="54"/>
      <c r="D9" s="65">
        <f>D7-D8</f>
        <v>1885455.25</v>
      </c>
    </row>
    <row r="10" spans="1:5" x14ac:dyDescent="0.3">
      <c r="C10" s="54"/>
      <c r="D10" s="54"/>
    </row>
    <row r="11" spans="1:5" x14ac:dyDescent="0.3">
      <c r="B11" s="53" t="s">
        <v>85</v>
      </c>
      <c r="C11" s="54"/>
      <c r="D11" s="54"/>
    </row>
    <row r="12" spans="1:5" x14ac:dyDescent="0.3">
      <c r="B12" s="67" t="str">
        <f>'4'!B22</f>
        <v>Electricty, water and gas</v>
      </c>
      <c r="C12" s="170">
        <f>'4'!Q22</f>
        <v>6000</v>
      </c>
      <c r="D12" s="54"/>
    </row>
    <row r="13" spans="1:5" x14ac:dyDescent="0.3">
      <c r="B13" s="67" t="str">
        <f>'4'!B23</f>
        <v>Business Insurance</v>
      </c>
      <c r="C13" s="170">
        <f>'4'!Q23</f>
        <v>24999.999999999996</v>
      </c>
      <c r="D13" s="54"/>
    </row>
    <row r="14" spans="1:5" x14ac:dyDescent="0.3">
      <c r="B14" s="67" t="str">
        <f>'4'!B24</f>
        <v>Administrative Wages</v>
      </c>
      <c r="C14" s="170">
        <f>'4'!Q24</f>
        <v>96000</v>
      </c>
      <c r="D14" s="54"/>
    </row>
    <row r="15" spans="1:5" x14ac:dyDescent="0.3">
      <c r="B15" s="67" t="str">
        <f>'4'!B25</f>
        <v>General Office Expenses</v>
      </c>
      <c r="C15" s="170">
        <f>'4'!Q25</f>
        <v>6000</v>
      </c>
      <c r="D15" s="64"/>
    </row>
    <row r="16" spans="1:5" x14ac:dyDescent="0.3">
      <c r="B16" s="35" t="s">
        <v>80</v>
      </c>
      <c r="C16" s="54"/>
      <c r="D16" s="65">
        <f>SUM(C12:C15)</f>
        <v>133000</v>
      </c>
    </row>
    <row r="17" spans="2:4" x14ac:dyDescent="0.3">
      <c r="C17" s="54"/>
      <c r="D17" s="54"/>
    </row>
    <row r="18" spans="2:4" x14ac:dyDescent="0.3">
      <c r="B18" s="53" t="s">
        <v>86</v>
      </c>
      <c r="C18" s="54"/>
      <c r="D18" s="58">
        <f>D9-D16</f>
        <v>1752455.25</v>
      </c>
    </row>
    <row r="20" spans="2:4" x14ac:dyDescent="0.3">
      <c r="B20" s="67"/>
    </row>
  </sheetData>
  <mergeCells count="3">
    <mergeCell ref="B4:D4"/>
    <mergeCell ref="B5:D5"/>
    <mergeCell ref="B6:D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CE97A-7D85-465E-B9F1-BED492710EE2}">
  <sheetPr>
    <pageSetUpPr fitToPage="1"/>
  </sheetPr>
  <dimension ref="A3:P53"/>
  <sheetViews>
    <sheetView zoomScaleNormal="100" workbookViewId="0">
      <selection activeCell="C43" sqref="C43"/>
    </sheetView>
  </sheetViews>
  <sheetFormatPr defaultColWidth="9.109375" defaultRowHeight="14.4" x14ac:dyDescent="0.3"/>
  <cols>
    <col min="1" max="1" width="5.6640625" style="35" customWidth="1"/>
    <col min="2" max="2" width="37.33203125" style="35" bestFit="1" customWidth="1"/>
    <col min="3" max="15" width="10.77734375" style="35" customWidth="1"/>
    <col min="16" max="16384" width="9.109375" style="35"/>
  </cols>
  <sheetData>
    <row r="3" spans="1:16" ht="15.6" x14ac:dyDescent="0.3">
      <c r="B3" s="171" t="str">
        <f>Cover!C16</f>
        <v>Monthly Cashflow Budget</v>
      </c>
      <c r="C3" s="87" t="str">
        <f>Assumptions!$C$12</f>
        <v>Jul</v>
      </c>
      <c r="D3" s="87" t="str">
        <f>Assumptions!$D$12</f>
        <v>Aug</v>
      </c>
      <c r="E3" s="87" t="str">
        <f>Assumptions!$E$12</f>
        <v>Sep</v>
      </c>
      <c r="F3" s="87" t="str">
        <f>Assumptions!$F$12</f>
        <v>Oct</v>
      </c>
      <c r="G3" s="87" t="str">
        <f>Assumptions!$G$12</f>
        <v>Nov</v>
      </c>
      <c r="H3" s="87" t="str">
        <f>Assumptions!$H$12</f>
        <v>Dec</v>
      </c>
      <c r="I3" s="87" t="str">
        <f>Assumptions!$I$12</f>
        <v>Jan</v>
      </c>
      <c r="J3" s="87" t="str">
        <f>Assumptions!$J$12</f>
        <v>Feb</v>
      </c>
      <c r="K3" s="87" t="str">
        <f>Assumptions!$K$12</f>
        <v>Mar</v>
      </c>
      <c r="L3" s="87" t="str">
        <f>Assumptions!$L$12</f>
        <v>Apr</v>
      </c>
      <c r="M3" s="87" t="str">
        <f>Assumptions!$M$12</f>
        <v>May</v>
      </c>
      <c r="N3" s="87" t="str">
        <f>Assumptions!$N$12</f>
        <v>Jun</v>
      </c>
      <c r="O3" s="87" t="s">
        <v>18</v>
      </c>
    </row>
    <row r="4" spans="1:16" ht="14.4" customHeight="1" x14ac:dyDescent="0.3">
      <c r="A4" s="68"/>
      <c r="B4" s="328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30"/>
      <c r="P4" s="69"/>
    </row>
    <row r="5" spans="1:16" x14ac:dyDescent="0.3">
      <c r="A5" s="68"/>
      <c r="B5" s="125" t="s">
        <v>193</v>
      </c>
      <c r="C5" s="268">
        <f>'6'!C35</f>
        <v>25000</v>
      </c>
      <c r="D5" s="172">
        <f>C33</f>
        <v>113673.81666666668</v>
      </c>
      <c r="E5" s="172">
        <f t="shared" ref="E5:N5" si="0">D33</f>
        <v>292283.8833333333</v>
      </c>
      <c r="F5" s="172">
        <f t="shared" si="0"/>
        <v>443032.54999999993</v>
      </c>
      <c r="G5" s="172">
        <f t="shared" si="0"/>
        <v>586301.2666666666</v>
      </c>
      <c r="H5" s="172">
        <f t="shared" si="0"/>
        <v>749822.1333333333</v>
      </c>
      <c r="I5" s="172">
        <f t="shared" si="0"/>
        <v>934168.7</v>
      </c>
      <c r="J5" s="172">
        <f t="shared" si="0"/>
        <v>1176007.8166666667</v>
      </c>
      <c r="K5" s="172">
        <f t="shared" si="0"/>
        <v>1422594.7833333332</v>
      </c>
      <c r="L5" s="172">
        <f t="shared" si="0"/>
        <v>1612776.0999999999</v>
      </c>
      <c r="M5" s="172">
        <f t="shared" si="0"/>
        <v>1776296.9666666666</v>
      </c>
      <c r="N5" s="172">
        <f t="shared" si="0"/>
        <v>1978343.5333333332</v>
      </c>
      <c r="O5" s="173">
        <f>C5</f>
        <v>25000</v>
      </c>
      <c r="P5" s="69"/>
    </row>
    <row r="6" spans="1:16" x14ac:dyDescent="0.3">
      <c r="A6" s="68"/>
      <c r="B6" s="63"/>
      <c r="C6" s="269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9"/>
    </row>
    <row r="7" spans="1:16" x14ac:dyDescent="0.3">
      <c r="A7" s="68"/>
      <c r="B7" s="253" t="s">
        <v>87</v>
      </c>
      <c r="C7" s="270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7"/>
      <c r="P7" s="69"/>
    </row>
    <row r="8" spans="1:16" x14ac:dyDescent="0.3">
      <c r="A8" s="68"/>
      <c r="B8" s="91" t="s">
        <v>88</v>
      </c>
      <c r="C8" s="268">
        <f>'1'!D34</f>
        <v>182750.40000000002</v>
      </c>
      <c r="D8" s="172">
        <f>'1'!E34</f>
        <v>249520</v>
      </c>
      <c r="E8" s="172">
        <f>'1'!F34</f>
        <v>249520</v>
      </c>
      <c r="F8" s="172">
        <f>'1'!G34</f>
        <v>249520</v>
      </c>
      <c r="G8" s="172">
        <f>'1'!H34</f>
        <v>249520</v>
      </c>
      <c r="H8" s="172">
        <f>'1'!I34</f>
        <v>294773</v>
      </c>
      <c r="I8" s="172">
        <f>'1'!J34</f>
        <v>336545</v>
      </c>
      <c r="J8" s="172">
        <f>'1'!K34</f>
        <v>336545</v>
      </c>
      <c r="K8" s="172">
        <f>'1'!L34</f>
        <v>291292</v>
      </c>
      <c r="L8" s="172">
        <f>'1'!M34</f>
        <v>249520</v>
      </c>
      <c r="M8" s="172">
        <f>'1'!N34</f>
        <v>294773</v>
      </c>
      <c r="N8" s="172">
        <f>'1'!O34</f>
        <v>336545</v>
      </c>
      <c r="O8" s="174">
        <f>SUM(C8:N8)</f>
        <v>3320823.4</v>
      </c>
      <c r="P8" s="69"/>
    </row>
    <row r="9" spans="1:16" x14ac:dyDescent="0.3">
      <c r="A9" s="68"/>
      <c r="B9" s="125" t="s">
        <v>89</v>
      </c>
      <c r="C9" s="271">
        <f>SUM(C5:C8)</f>
        <v>207750.40000000002</v>
      </c>
      <c r="D9" s="176">
        <f t="shared" ref="D9:O9" si="1">SUM(D5:D8)</f>
        <v>363193.81666666665</v>
      </c>
      <c r="E9" s="176">
        <f t="shared" si="1"/>
        <v>541803.8833333333</v>
      </c>
      <c r="F9" s="176">
        <f t="shared" si="1"/>
        <v>692552.54999999993</v>
      </c>
      <c r="G9" s="176">
        <f t="shared" si="1"/>
        <v>835821.2666666666</v>
      </c>
      <c r="H9" s="176">
        <f t="shared" si="1"/>
        <v>1044595.1333333333</v>
      </c>
      <c r="I9" s="176">
        <f t="shared" si="1"/>
        <v>1270713.7</v>
      </c>
      <c r="J9" s="176">
        <f t="shared" si="1"/>
        <v>1512552.8166666667</v>
      </c>
      <c r="K9" s="176">
        <f t="shared" si="1"/>
        <v>1713886.7833333332</v>
      </c>
      <c r="L9" s="176">
        <f t="shared" si="1"/>
        <v>1862296.0999999999</v>
      </c>
      <c r="M9" s="176">
        <f t="shared" si="1"/>
        <v>2071069.9666666666</v>
      </c>
      <c r="N9" s="176">
        <f t="shared" si="1"/>
        <v>2314888.5333333332</v>
      </c>
      <c r="O9" s="177">
        <f t="shared" si="1"/>
        <v>3345823.4</v>
      </c>
      <c r="P9" s="69"/>
    </row>
    <row r="10" spans="1:16" x14ac:dyDescent="0.3">
      <c r="A10" s="68"/>
      <c r="B10" s="253"/>
      <c r="C10" s="270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7"/>
      <c r="P10" s="69"/>
    </row>
    <row r="11" spans="1:16" x14ac:dyDescent="0.3">
      <c r="A11" s="68"/>
      <c r="B11" s="253" t="s">
        <v>90</v>
      </c>
      <c r="C11" s="270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7"/>
      <c r="P11" s="69"/>
    </row>
    <row r="12" spans="1:16" x14ac:dyDescent="0.3">
      <c r="A12" s="68"/>
      <c r="B12" s="91" t="s">
        <v>162</v>
      </c>
      <c r="C12" s="268">
        <f>'3'!D25</f>
        <v>19698.25</v>
      </c>
      <c r="D12" s="172">
        <f>'3'!E25</f>
        <v>11031.6</v>
      </c>
      <c r="E12" s="172">
        <f>'3'!F25</f>
        <v>21193</v>
      </c>
      <c r="F12" s="172">
        <f>'3'!G25</f>
        <v>21372.95</v>
      </c>
      <c r="G12" s="172">
        <f>'3'!H25</f>
        <v>22812.550000000003</v>
      </c>
      <c r="H12" s="172">
        <f>'3'!I25</f>
        <v>26231.600000000002</v>
      </c>
      <c r="I12" s="172">
        <f>'3'!J25</f>
        <v>28211.050000000003</v>
      </c>
      <c r="J12" s="172">
        <f>'3'!K25</f>
        <v>26771.45</v>
      </c>
      <c r="K12" s="172">
        <f>'3'!L25</f>
        <v>23532.35</v>
      </c>
      <c r="L12" s="172">
        <f>'3'!M25</f>
        <v>22812.550000000003</v>
      </c>
      <c r="M12" s="172">
        <f>'3'!N25</f>
        <v>26231.600000000002</v>
      </c>
      <c r="N12" s="172">
        <f>'3'!O25</f>
        <v>28211.050000000003</v>
      </c>
      <c r="O12" s="174">
        <f>SUM(C12:N12)</f>
        <v>278110.00000000006</v>
      </c>
      <c r="P12" s="69"/>
    </row>
    <row r="13" spans="1:16" x14ac:dyDescent="0.3">
      <c r="A13" s="68"/>
      <c r="B13" s="253"/>
      <c r="C13" s="270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7"/>
      <c r="P13" s="69"/>
    </row>
    <row r="14" spans="1:16" x14ac:dyDescent="0.3">
      <c r="A14" s="68"/>
      <c r="B14" s="235" t="s">
        <v>77</v>
      </c>
      <c r="C14" s="270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7"/>
      <c r="P14" s="69"/>
    </row>
    <row r="15" spans="1:16" x14ac:dyDescent="0.3">
      <c r="A15" s="68"/>
      <c r="B15" s="175" t="str">
        <f>'4'!B6</f>
        <v>Indirect Labour</v>
      </c>
      <c r="C15" s="268">
        <f>'4'!E6</f>
        <v>6120</v>
      </c>
      <c r="D15" s="172">
        <f>'4'!F6</f>
        <v>6120</v>
      </c>
      <c r="E15" s="172">
        <f>'4'!G6</f>
        <v>6120</v>
      </c>
      <c r="F15" s="172">
        <f>'4'!H6</f>
        <v>6120</v>
      </c>
      <c r="G15" s="172">
        <f>'4'!I6</f>
        <v>7241.9999999999991</v>
      </c>
      <c r="H15" s="172">
        <f>'4'!J6</f>
        <v>8364</v>
      </c>
      <c r="I15" s="172">
        <f>'4'!K6</f>
        <v>8364</v>
      </c>
      <c r="J15" s="172">
        <f>'4'!L6</f>
        <v>7241.9999999999991</v>
      </c>
      <c r="K15" s="172">
        <f>'4'!M6</f>
        <v>6120</v>
      </c>
      <c r="L15" s="172">
        <f>'4'!N6</f>
        <v>7241.9999999999991</v>
      </c>
      <c r="M15" s="172">
        <f>'4'!O6</f>
        <v>8364</v>
      </c>
      <c r="N15" s="172">
        <f>'4'!P6</f>
        <v>8364</v>
      </c>
      <c r="O15" s="174">
        <f t="shared" ref="O15:O17" si="2">SUM(C15:N15)</f>
        <v>85782</v>
      </c>
      <c r="P15" s="69"/>
    </row>
    <row r="16" spans="1:16" x14ac:dyDescent="0.3">
      <c r="A16" s="68"/>
      <c r="B16" s="175" t="str">
        <f>'4'!B7</f>
        <v>Indirect Materials</v>
      </c>
      <c r="C16" s="268">
        <f>'4'!E7</f>
        <v>8175</v>
      </c>
      <c r="D16" s="172">
        <f>'4'!F7</f>
        <v>8175</v>
      </c>
      <c r="E16" s="172">
        <f>'4'!G7</f>
        <v>8175</v>
      </c>
      <c r="F16" s="172">
        <f>'4'!H7</f>
        <v>8175</v>
      </c>
      <c r="G16" s="172">
        <f>'4'!I7</f>
        <v>9673.75</v>
      </c>
      <c r="H16" s="172">
        <f>'4'!J7</f>
        <v>11172.5</v>
      </c>
      <c r="I16" s="172">
        <f>'4'!K7</f>
        <v>11172.5</v>
      </c>
      <c r="J16" s="172">
        <f>'4'!L7</f>
        <v>9673.75</v>
      </c>
      <c r="K16" s="172">
        <f>'4'!M7</f>
        <v>8175</v>
      </c>
      <c r="L16" s="172">
        <f>'4'!N7</f>
        <v>9673.75</v>
      </c>
      <c r="M16" s="172">
        <f>'4'!O7</f>
        <v>11172.5</v>
      </c>
      <c r="N16" s="172">
        <f>'4'!P7</f>
        <v>11172.5</v>
      </c>
      <c r="O16" s="174">
        <f t="shared" si="2"/>
        <v>114586.25</v>
      </c>
      <c r="P16" s="69"/>
    </row>
    <row r="17" spans="1:16" x14ac:dyDescent="0.3">
      <c r="A17" s="68"/>
      <c r="B17" s="175" t="str">
        <f>'4'!B8</f>
        <v>Maching cost</v>
      </c>
      <c r="C17" s="268">
        <f>'4'!E8</f>
        <v>3750</v>
      </c>
      <c r="D17" s="172">
        <f>'4'!F8</f>
        <v>3750</v>
      </c>
      <c r="E17" s="172">
        <f>'4'!G8</f>
        <v>3750</v>
      </c>
      <c r="F17" s="172">
        <f>'4'!H8</f>
        <v>3750</v>
      </c>
      <c r="G17" s="172">
        <f>'4'!I8</f>
        <v>4437.5</v>
      </c>
      <c r="H17" s="172">
        <f>'4'!J8</f>
        <v>5125</v>
      </c>
      <c r="I17" s="172">
        <f>'4'!K8</f>
        <v>5125</v>
      </c>
      <c r="J17" s="172">
        <f>'4'!L8</f>
        <v>4437.5</v>
      </c>
      <c r="K17" s="172">
        <f>'4'!M8</f>
        <v>3750</v>
      </c>
      <c r="L17" s="172">
        <f>'4'!N8</f>
        <v>4437.5</v>
      </c>
      <c r="M17" s="172">
        <f>'4'!O8</f>
        <v>5125</v>
      </c>
      <c r="N17" s="172">
        <f>'4'!P8</f>
        <v>5125</v>
      </c>
      <c r="O17" s="174">
        <f t="shared" si="2"/>
        <v>52562.5</v>
      </c>
      <c r="P17" s="69"/>
    </row>
    <row r="18" spans="1:16" x14ac:dyDescent="0.3">
      <c r="A18" s="68"/>
      <c r="B18" s="253"/>
      <c r="C18" s="270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7"/>
      <c r="P18" s="69"/>
    </row>
    <row r="19" spans="1:16" x14ac:dyDescent="0.3">
      <c r="A19" s="68"/>
      <c r="B19" s="235" t="s">
        <v>78</v>
      </c>
      <c r="C19" s="270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7"/>
      <c r="P19" s="69"/>
    </row>
    <row r="20" spans="1:16" x14ac:dyDescent="0.3">
      <c r="A20" s="68"/>
      <c r="B20" s="175" t="str">
        <f>'4'!B12</f>
        <v>Electricty, water and gas</v>
      </c>
      <c r="C20" s="268"/>
      <c r="D20" s="172"/>
      <c r="E20" s="172">
        <f>$C$39*3</f>
        <v>1200</v>
      </c>
      <c r="F20" s="172"/>
      <c r="G20" s="172"/>
      <c r="H20" s="172">
        <f>$C$39*3</f>
        <v>1200</v>
      </c>
      <c r="I20" s="172"/>
      <c r="J20" s="172"/>
      <c r="K20" s="172">
        <f>$C$39*3</f>
        <v>1200</v>
      </c>
      <c r="L20" s="172"/>
      <c r="M20" s="172"/>
      <c r="N20" s="172">
        <f>$C$39*3</f>
        <v>1200</v>
      </c>
      <c r="O20" s="174">
        <f t="shared" ref="O20:O23" si="3">SUM(C20:N20)</f>
        <v>4800</v>
      </c>
      <c r="P20" s="69"/>
    </row>
    <row r="21" spans="1:16" x14ac:dyDescent="0.3">
      <c r="A21" s="68"/>
      <c r="B21" s="175" t="str">
        <f>'4'!B13</f>
        <v>Manufacturing Insurance</v>
      </c>
      <c r="C21" s="268">
        <f>C40</f>
        <v>14500</v>
      </c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4">
        <f t="shared" si="3"/>
        <v>14500</v>
      </c>
      <c r="P21" s="69"/>
    </row>
    <row r="22" spans="1:16" x14ac:dyDescent="0.3">
      <c r="A22" s="68"/>
      <c r="B22" s="175" t="str">
        <f>'4'!B14</f>
        <v>Manufactuirng Team's Salary</v>
      </c>
      <c r="C22" s="268">
        <f>$C$41/12</f>
        <v>33333.333333333336</v>
      </c>
      <c r="D22" s="172">
        <f t="shared" ref="D22:N22" si="4">$C$41/12</f>
        <v>33333.333333333336</v>
      </c>
      <c r="E22" s="172">
        <f t="shared" si="4"/>
        <v>33333.333333333336</v>
      </c>
      <c r="F22" s="172">
        <f t="shared" si="4"/>
        <v>33333.333333333336</v>
      </c>
      <c r="G22" s="172">
        <f t="shared" si="4"/>
        <v>33333.333333333336</v>
      </c>
      <c r="H22" s="172">
        <f t="shared" si="4"/>
        <v>33333.333333333336</v>
      </c>
      <c r="I22" s="172">
        <f t="shared" si="4"/>
        <v>33333.333333333336</v>
      </c>
      <c r="J22" s="172">
        <f t="shared" si="4"/>
        <v>33333.333333333336</v>
      </c>
      <c r="K22" s="172">
        <f t="shared" si="4"/>
        <v>33333.333333333336</v>
      </c>
      <c r="L22" s="172">
        <f t="shared" si="4"/>
        <v>33333.333333333336</v>
      </c>
      <c r="M22" s="172">
        <f t="shared" si="4"/>
        <v>33333.333333333336</v>
      </c>
      <c r="N22" s="172">
        <f t="shared" si="4"/>
        <v>33333.333333333336</v>
      </c>
      <c r="O22" s="174">
        <f t="shared" si="3"/>
        <v>399999.99999999994</v>
      </c>
      <c r="P22" s="69"/>
    </row>
    <row r="23" spans="1:16" x14ac:dyDescent="0.3">
      <c r="A23" s="68"/>
      <c r="B23" s="175" t="str">
        <f>'4'!B15</f>
        <v>Factory Maintenance</v>
      </c>
      <c r="C23" s="268"/>
      <c r="D23" s="172"/>
      <c r="E23" s="172">
        <f>$C$42</f>
        <v>15000</v>
      </c>
      <c r="F23" s="172"/>
      <c r="G23" s="172"/>
      <c r="H23" s="172">
        <f>$C$42</f>
        <v>15000</v>
      </c>
      <c r="I23" s="172"/>
      <c r="J23" s="172"/>
      <c r="K23" s="172">
        <f>$C$42</f>
        <v>15000</v>
      </c>
      <c r="L23" s="172"/>
      <c r="M23" s="172"/>
      <c r="N23" s="172">
        <f>$C$42</f>
        <v>15000</v>
      </c>
      <c r="O23" s="174">
        <f t="shared" si="3"/>
        <v>60000</v>
      </c>
      <c r="P23" s="69"/>
    </row>
    <row r="24" spans="1:16" x14ac:dyDescent="0.3">
      <c r="A24" s="68"/>
      <c r="B24" s="253"/>
      <c r="C24" s="270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7"/>
      <c r="P24" s="69"/>
    </row>
    <row r="25" spans="1:16" x14ac:dyDescent="0.3">
      <c r="A25" s="68"/>
      <c r="B25" s="235" t="s">
        <v>91</v>
      </c>
      <c r="C25" s="270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7"/>
      <c r="P25" s="69"/>
    </row>
    <row r="26" spans="1:16" x14ac:dyDescent="0.3">
      <c r="A26" s="68"/>
      <c r="B26" s="175" t="str">
        <f>'4'!B22</f>
        <v>Electricty, water and gas</v>
      </c>
      <c r="C26" s="268"/>
      <c r="D26" s="172"/>
      <c r="E26" s="172">
        <f>$C$49*3</f>
        <v>1500</v>
      </c>
      <c r="F26" s="172"/>
      <c r="G26" s="172"/>
      <c r="H26" s="172">
        <f>$C$49*3</f>
        <v>1500</v>
      </c>
      <c r="I26" s="172"/>
      <c r="J26" s="172"/>
      <c r="K26" s="172">
        <f>$C$49*3</f>
        <v>1500</v>
      </c>
      <c r="L26" s="172"/>
      <c r="M26" s="172"/>
      <c r="N26" s="172">
        <f>$C$49*3</f>
        <v>1500</v>
      </c>
      <c r="O26" s="174">
        <f t="shared" ref="O26:O29" si="5">SUM(C26:N26)</f>
        <v>6000</v>
      </c>
      <c r="P26" s="69"/>
    </row>
    <row r="27" spans="1:16" x14ac:dyDescent="0.3">
      <c r="A27" s="68"/>
      <c r="B27" s="175" t="str">
        <f>'4'!B23</f>
        <v>Business Insurance</v>
      </c>
      <c r="C27" s="268"/>
      <c r="D27" s="172"/>
      <c r="E27" s="172"/>
      <c r="F27" s="172">
        <f>C50</f>
        <v>25000</v>
      </c>
      <c r="G27" s="172"/>
      <c r="H27" s="172"/>
      <c r="I27" s="172"/>
      <c r="J27" s="172"/>
      <c r="K27" s="172"/>
      <c r="L27" s="172"/>
      <c r="M27" s="172"/>
      <c r="N27" s="172"/>
      <c r="O27" s="174">
        <f t="shared" si="5"/>
        <v>25000</v>
      </c>
      <c r="P27" s="69"/>
    </row>
    <row r="28" spans="1:16" x14ac:dyDescent="0.3">
      <c r="A28" s="68"/>
      <c r="B28" s="175" t="str">
        <f>'4'!B24</f>
        <v>Administrative Wages</v>
      </c>
      <c r="C28" s="268">
        <f>'4'!E24</f>
        <v>8000</v>
      </c>
      <c r="D28" s="172">
        <f>'4'!F24</f>
        <v>8000</v>
      </c>
      <c r="E28" s="172">
        <f>'4'!G24</f>
        <v>8000</v>
      </c>
      <c r="F28" s="172">
        <f>'4'!H24</f>
        <v>8000</v>
      </c>
      <c r="G28" s="172">
        <f>'4'!I24</f>
        <v>8000</v>
      </c>
      <c r="H28" s="172">
        <f>'4'!J24</f>
        <v>8000</v>
      </c>
      <c r="I28" s="172">
        <f>'4'!K24</f>
        <v>8000</v>
      </c>
      <c r="J28" s="172">
        <f>'4'!L24</f>
        <v>8000</v>
      </c>
      <c r="K28" s="172">
        <f>'4'!M24</f>
        <v>8000</v>
      </c>
      <c r="L28" s="172">
        <f>'4'!N24</f>
        <v>8000</v>
      </c>
      <c r="M28" s="172">
        <f>'4'!O24</f>
        <v>8000</v>
      </c>
      <c r="N28" s="172">
        <f>'4'!P24</f>
        <v>8000</v>
      </c>
      <c r="O28" s="174">
        <f t="shared" si="5"/>
        <v>96000</v>
      </c>
      <c r="P28" s="69"/>
    </row>
    <row r="29" spans="1:16" x14ac:dyDescent="0.3">
      <c r="A29" s="68"/>
      <c r="B29" s="175" t="str">
        <f>'4'!B25</f>
        <v>General Office Expenses</v>
      </c>
      <c r="C29" s="268">
        <f>'4'!E25</f>
        <v>500</v>
      </c>
      <c r="D29" s="172">
        <f>'4'!F25</f>
        <v>500</v>
      </c>
      <c r="E29" s="172">
        <f>'4'!G25</f>
        <v>500</v>
      </c>
      <c r="F29" s="172">
        <f>'4'!H25</f>
        <v>500</v>
      </c>
      <c r="G29" s="172">
        <f>'4'!I25</f>
        <v>500</v>
      </c>
      <c r="H29" s="172">
        <f>'4'!J25</f>
        <v>500</v>
      </c>
      <c r="I29" s="172">
        <f>'4'!K25</f>
        <v>500</v>
      </c>
      <c r="J29" s="172">
        <f>'4'!L25</f>
        <v>500</v>
      </c>
      <c r="K29" s="172">
        <f>'4'!M25</f>
        <v>500</v>
      </c>
      <c r="L29" s="172">
        <f>'4'!N25</f>
        <v>500</v>
      </c>
      <c r="M29" s="172">
        <f>'4'!O25</f>
        <v>500</v>
      </c>
      <c r="N29" s="172">
        <f>'4'!P25</f>
        <v>500</v>
      </c>
      <c r="O29" s="174">
        <f t="shared" si="5"/>
        <v>6000</v>
      </c>
      <c r="P29" s="69"/>
    </row>
    <row r="30" spans="1:16" x14ac:dyDescent="0.3">
      <c r="A30" s="68"/>
      <c r="B30" s="253"/>
      <c r="C30" s="270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7"/>
      <c r="P30" s="69"/>
    </row>
    <row r="31" spans="1:16" x14ac:dyDescent="0.3">
      <c r="A31" s="68"/>
      <c r="B31" s="125" t="s">
        <v>92</v>
      </c>
      <c r="C31" s="271">
        <f t="shared" ref="C31:O31" si="6">SUM(C12:C29)</f>
        <v>94076.583333333343</v>
      </c>
      <c r="D31" s="176">
        <f t="shared" si="6"/>
        <v>70909.933333333334</v>
      </c>
      <c r="E31" s="176">
        <f t="shared" si="6"/>
        <v>98771.333333333343</v>
      </c>
      <c r="F31" s="176">
        <f t="shared" si="6"/>
        <v>106251.28333333333</v>
      </c>
      <c r="G31" s="176">
        <f t="shared" si="6"/>
        <v>85999.133333333331</v>
      </c>
      <c r="H31" s="176">
        <f t="shared" si="6"/>
        <v>110426.43333333335</v>
      </c>
      <c r="I31" s="176">
        <f t="shared" si="6"/>
        <v>94705.883333333331</v>
      </c>
      <c r="J31" s="176">
        <f t="shared" si="6"/>
        <v>89958.033333333326</v>
      </c>
      <c r="K31" s="176">
        <f t="shared" si="6"/>
        <v>101110.68333333333</v>
      </c>
      <c r="L31" s="176">
        <f t="shared" si="6"/>
        <v>85999.133333333331</v>
      </c>
      <c r="M31" s="176">
        <f t="shared" si="6"/>
        <v>92726.433333333349</v>
      </c>
      <c r="N31" s="176">
        <f t="shared" si="6"/>
        <v>112405.88333333333</v>
      </c>
      <c r="O31" s="177">
        <f t="shared" si="6"/>
        <v>1143340.75</v>
      </c>
      <c r="P31" s="69"/>
    </row>
    <row r="32" spans="1:16" x14ac:dyDescent="0.3">
      <c r="A32" s="68"/>
      <c r="B32" s="63"/>
      <c r="C32" s="269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9"/>
    </row>
    <row r="33" spans="1:16" x14ac:dyDescent="0.3">
      <c r="A33" s="68"/>
      <c r="B33" s="125" t="s">
        <v>93</v>
      </c>
      <c r="C33" s="271">
        <f t="shared" ref="C33:O33" si="7">C9-C31</f>
        <v>113673.81666666668</v>
      </c>
      <c r="D33" s="176">
        <f t="shared" si="7"/>
        <v>292283.8833333333</v>
      </c>
      <c r="E33" s="176">
        <f t="shared" si="7"/>
        <v>443032.54999999993</v>
      </c>
      <c r="F33" s="176">
        <f t="shared" si="7"/>
        <v>586301.2666666666</v>
      </c>
      <c r="G33" s="176">
        <f t="shared" si="7"/>
        <v>749822.1333333333</v>
      </c>
      <c r="H33" s="176">
        <f t="shared" si="7"/>
        <v>934168.7</v>
      </c>
      <c r="I33" s="176">
        <f t="shared" si="7"/>
        <v>1176007.8166666667</v>
      </c>
      <c r="J33" s="176">
        <f t="shared" si="7"/>
        <v>1422594.7833333332</v>
      </c>
      <c r="K33" s="176">
        <f t="shared" si="7"/>
        <v>1612776.0999999999</v>
      </c>
      <c r="L33" s="176">
        <f t="shared" si="7"/>
        <v>1776296.9666666666</v>
      </c>
      <c r="M33" s="176">
        <f t="shared" si="7"/>
        <v>1978343.5333333332</v>
      </c>
      <c r="N33" s="176">
        <f t="shared" si="7"/>
        <v>2202482.65</v>
      </c>
      <c r="O33" s="177">
        <f t="shared" si="7"/>
        <v>2202482.65</v>
      </c>
      <c r="P33" s="69"/>
    </row>
    <row r="34" spans="1:16" x14ac:dyDescent="0.3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1:16" x14ac:dyDescent="0.3">
      <c r="B35" s="107" t="s">
        <v>192</v>
      </c>
      <c r="C35" s="36">
        <v>25000</v>
      </c>
    </row>
    <row r="37" spans="1:16" x14ac:dyDescent="0.3">
      <c r="B37" s="237" t="s">
        <v>190</v>
      </c>
      <c r="D37" s="63"/>
      <c r="E37" s="63"/>
    </row>
    <row r="38" spans="1:16" x14ac:dyDescent="0.3">
      <c r="B38" s="272" t="s">
        <v>114</v>
      </c>
      <c r="C38" s="272" t="s">
        <v>75</v>
      </c>
      <c r="D38" s="337" t="s">
        <v>115</v>
      </c>
      <c r="E38" s="338"/>
      <c r="F38" s="339"/>
    </row>
    <row r="39" spans="1:16" ht="13.95" customHeight="1" x14ac:dyDescent="0.3">
      <c r="B39" s="88" t="s">
        <v>117</v>
      </c>
      <c r="C39" s="96">
        <v>400</v>
      </c>
      <c r="D39" s="334" t="s">
        <v>198</v>
      </c>
      <c r="E39" s="335"/>
      <c r="F39" s="336"/>
    </row>
    <row r="40" spans="1:16" ht="13.95" customHeight="1" x14ac:dyDescent="0.3">
      <c r="B40" s="274" t="s">
        <v>118</v>
      </c>
      <c r="C40" s="96">
        <v>14500</v>
      </c>
      <c r="D40" s="331" t="s">
        <v>150</v>
      </c>
      <c r="E40" s="332"/>
      <c r="F40" s="333"/>
    </row>
    <row r="41" spans="1:16" ht="13.95" customHeight="1" x14ac:dyDescent="0.3">
      <c r="B41" s="274" t="s">
        <v>203</v>
      </c>
      <c r="C41" s="96">
        <v>400000</v>
      </c>
      <c r="D41" s="331" t="s">
        <v>149</v>
      </c>
      <c r="E41" s="332"/>
      <c r="F41" s="333"/>
    </row>
    <row r="42" spans="1:16" ht="13.95" customHeight="1" x14ac:dyDescent="0.3">
      <c r="B42" s="274" t="s">
        <v>60</v>
      </c>
      <c r="C42" s="89">
        <v>15000</v>
      </c>
      <c r="D42" s="334" t="s">
        <v>199</v>
      </c>
      <c r="E42" s="335"/>
      <c r="F42" s="336"/>
    </row>
    <row r="43" spans="1:16" ht="13.95" customHeight="1" x14ac:dyDescent="0.3">
      <c r="B43" s="274" t="s">
        <v>61</v>
      </c>
      <c r="C43" s="89">
        <v>40000</v>
      </c>
      <c r="D43" s="331" t="s">
        <v>151</v>
      </c>
      <c r="E43" s="332"/>
      <c r="F43" s="333"/>
    </row>
    <row r="44" spans="1:16" ht="13.95" customHeight="1" x14ac:dyDescent="0.3">
      <c r="B44" s="88" t="s">
        <v>56</v>
      </c>
      <c r="C44" s="96">
        <v>40.799999999999997</v>
      </c>
      <c r="D44" s="334" t="s">
        <v>200</v>
      </c>
      <c r="E44" s="335"/>
      <c r="F44" s="336"/>
    </row>
    <row r="45" spans="1:16" ht="13.95" customHeight="1" x14ac:dyDescent="0.3">
      <c r="B45" s="88" t="s">
        <v>58</v>
      </c>
      <c r="C45" s="96">
        <v>54.5</v>
      </c>
      <c r="D45" s="238" t="s">
        <v>200</v>
      </c>
      <c r="E45" s="238"/>
      <c r="F45" s="238"/>
    </row>
    <row r="46" spans="1:16" x14ac:dyDescent="0.3">
      <c r="B46" s="273" t="s">
        <v>113</v>
      </c>
      <c r="C46" s="85"/>
      <c r="D46" s="85"/>
      <c r="E46" s="85"/>
      <c r="F46" s="66"/>
    </row>
    <row r="47" spans="1:16" x14ac:dyDescent="0.3">
      <c r="D47" s="63"/>
      <c r="E47" s="63"/>
      <c r="F47" s="63"/>
    </row>
    <row r="48" spans="1:16" x14ac:dyDescent="0.3">
      <c r="B48" s="234" t="s">
        <v>62</v>
      </c>
      <c r="C48" s="234" t="s">
        <v>75</v>
      </c>
      <c r="D48" s="291" t="s">
        <v>115</v>
      </c>
      <c r="E48" s="291"/>
      <c r="F48" s="291"/>
      <c r="G48" s="69"/>
    </row>
    <row r="49" spans="2:7" ht="13.95" customHeight="1" x14ac:dyDescent="0.3">
      <c r="B49" s="88" t="s">
        <v>117</v>
      </c>
      <c r="C49" s="96">
        <v>500</v>
      </c>
      <c r="D49" s="327" t="s">
        <v>198</v>
      </c>
      <c r="E49" s="327"/>
      <c r="F49" s="327"/>
      <c r="G49" s="69"/>
    </row>
    <row r="50" spans="2:7" ht="13.95" customHeight="1" x14ac:dyDescent="0.3">
      <c r="B50" s="88" t="s">
        <v>119</v>
      </c>
      <c r="C50" s="96">
        <v>25000</v>
      </c>
      <c r="D50" s="327" t="s">
        <v>155</v>
      </c>
      <c r="E50" s="327"/>
      <c r="F50" s="327"/>
      <c r="G50" s="69"/>
    </row>
    <row r="51" spans="2:7" ht="13.95" customHeight="1" x14ac:dyDescent="0.3">
      <c r="B51" s="88" t="s">
        <v>63</v>
      </c>
      <c r="C51" s="96">
        <v>8000</v>
      </c>
      <c r="D51" s="327" t="s">
        <v>201</v>
      </c>
      <c r="E51" s="327"/>
      <c r="F51" s="327"/>
      <c r="G51" s="69"/>
    </row>
    <row r="52" spans="2:7" ht="13.95" customHeight="1" x14ac:dyDescent="0.3">
      <c r="B52" s="88" t="s">
        <v>64</v>
      </c>
      <c r="C52" s="96">
        <v>500</v>
      </c>
      <c r="D52" s="327" t="s">
        <v>201</v>
      </c>
      <c r="E52" s="327"/>
      <c r="F52" s="327"/>
      <c r="G52" s="69"/>
    </row>
    <row r="53" spans="2:7" x14ac:dyDescent="0.3">
      <c r="B53" s="101" t="s">
        <v>113</v>
      </c>
      <c r="D53" s="66"/>
      <c r="E53" s="66"/>
      <c r="F53" s="66"/>
    </row>
  </sheetData>
  <mergeCells count="13">
    <mergeCell ref="D51:F51"/>
    <mergeCell ref="D52:F52"/>
    <mergeCell ref="B4:O4"/>
    <mergeCell ref="D43:F43"/>
    <mergeCell ref="D44:F44"/>
    <mergeCell ref="D48:F48"/>
    <mergeCell ref="D49:F49"/>
    <mergeCell ref="D50:F50"/>
    <mergeCell ref="D38:F38"/>
    <mergeCell ref="D39:F39"/>
    <mergeCell ref="D40:F40"/>
    <mergeCell ref="D41:F41"/>
    <mergeCell ref="D42:F42"/>
  </mergeCells>
  <pageMargins left="0.7" right="0.7" top="0.75" bottom="0.75" header="0.3" footer="0.3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2471E-1002-4C87-8BA8-89B4CCF89A03}">
  <sheetPr>
    <pageSetUpPr fitToPage="1"/>
  </sheetPr>
  <dimension ref="A1:T45"/>
  <sheetViews>
    <sheetView zoomScaleNormal="100" workbookViewId="0">
      <selection activeCell="B1" sqref="B1"/>
    </sheetView>
  </sheetViews>
  <sheetFormatPr defaultColWidth="9.109375" defaultRowHeight="14.4" x14ac:dyDescent="0.3"/>
  <cols>
    <col min="1" max="1" width="5.6640625" style="35" customWidth="1"/>
    <col min="2" max="2" width="49.6640625" style="35" customWidth="1"/>
    <col min="3" max="6" width="9.77734375" style="35" customWidth="1"/>
    <col min="7" max="7" width="13.6640625" style="35" customWidth="1"/>
    <col min="8" max="19" width="9.77734375" style="35" customWidth="1"/>
    <col min="20" max="16384" width="9.109375" style="35"/>
  </cols>
  <sheetData>
    <row r="1" spans="1:20" ht="15" thickBot="1" x14ac:dyDescent="0.35">
      <c r="H1" s="63"/>
      <c r="I1" s="63"/>
      <c r="J1" s="63"/>
      <c r="K1" s="63"/>
      <c r="L1" s="63"/>
      <c r="M1" s="63"/>
      <c r="N1" s="63"/>
      <c r="O1" s="63"/>
      <c r="P1" s="63"/>
    </row>
    <row r="2" spans="1:20" ht="15" thickBot="1" x14ac:dyDescent="0.35">
      <c r="B2" s="63"/>
      <c r="C2" s="63"/>
      <c r="D2" s="63"/>
      <c r="E2" s="63"/>
      <c r="F2" s="63"/>
      <c r="G2" s="280"/>
      <c r="H2" s="340" t="s">
        <v>205</v>
      </c>
      <c r="I2" s="341"/>
      <c r="J2" s="341"/>
      <c r="K2" s="341"/>
      <c r="L2" s="341"/>
      <c r="M2" s="341"/>
      <c r="N2" s="341"/>
      <c r="O2" s="341"/>
      <c r="P2" s="342"/>
      <c r="Q2" s="281"/>
      <c r="R2" s="63"/>
      <c r="S2" s="63"/>
    </row>
    <row r="3" spans="1:20" ht="30" customHeight="1" x14ac:dyDescent="0.3">
      <c r="A3" s="68"/>
      <c r="B3" s="220" t="str">
        <f>Cover!C17</f>
        <v>Q1 Cashflow variance analysis and forecast</v>
      </c>
      <c r="C3" s="201" t="s">
        <v>167</v>
      </c>
      <c r="D3" s="202" t="s">
        <v>166</v>
      </c>
      <c r="E3" s="203" t="s">
        <v>182</v>
      </c>
      <c r="F3" s="203" t="s">
        <v>183</v>
      </c>
      <c r="G3" s="231" t="s">
        <v>184</v>
      </c>
      <c r="H3" s="282" t="str">
        <f>Assumptions!$F$12</f>
        <v>Oct</v>
      </c>
      <c r="I3" s="283" t="str">
        <f>Assumptions!$G$12</f>
        <v>Nov</v>
      </c>
      <c r="J3" s="283" t="str">
        <f>Assumptions!$H$12</f>
        <v>Dec</v>
      </c>
      <c r="K3" s="283" t="str">
        <f>Assumptions!$I$12</f>
        <v>Jan</v>
      </c>
      <c r="L3" s="283" t="str">
        <f>Assumptions!$J$12</f>
        <v>Feb</v>
      </c>
      <c r="M3" s="283" t="str">
        <f>Assumptions!$K$12</f>
        <v>Mar</v>
      </c>
      <c r="N3" s="283" t="str">
        <f>Assumptions!$L$12</f>
        <v>Apr</v>
      </c>
      <c r="O3" s="283" t="str">
        <f>Assumptions!$M$12</f>
        <v>May</v>
      </c>
      <c r="P3" s="283" t="str">
        <f>Assumptions!$N$12</f>
        <v>Jun</v>
      </c>
      <c r="Q3" s="202" t="s">
        <v>168</v>
      </c>
      <c r="R3" s="202" t="s">
        <v>169</v>
      </c>
      <c r="S3" s="204" t="s">
        <v>170</v>
      </c>
      <c r="T3" s="69"/>
    </row>
    <row r="4" spans="1:20" x14ac:dyDescent="0.3">
      <c r="A4" s="200"/>
      <c r="B4" s="221"/>
      <c r="C4" s="205"/>
      <c r="D4" s="69"/>
      <c r="E4" s="69"/>
      <c r="F4" s="69"/>
      <c r="G4" s="206"/>
      <c r="H4" s="205"/>
      <c r="I4" s="69"/>
      <c r="J4" s="69"/>
      <c r="K4" s="69"/>
      <c r="L4" s="69"/>
      <c r="M4" s="69"/>
      <c r="N4" s="69"/>
      <c r="O4" s="69"/>
      <c r="P4" s="69"/>
      <c r="Q4" s="69"/>
      <c r="R4" s="69"/>
      <c r="S4" s="206"/>
      <c r="T4" s="69"/>
    </row>
    <row r="5" spans="1:20" x14ac:dyDescent="0.3">
      <c r="A5" s="68"/>
      <c r="B5" s="222" t="s">
        <v>161</v>
      </c>
      <c r="C5" s="207">
        <f>'6'!C5</f>
        <v>25000</v>
      </c>
      <c r="D5" s="268">
        <f>'6'!C5</f>
        <v>25000</v>
      </c>
      <c r="E5" s="195">
        <f>C5-D5</f>
        <v>0</v>
      </c>
      <c r="F5" s="227">
        <f>E5/C5</f>
        <v>0</v>
      </c>
      <c r="G5" s="232"/>
      <c r="H5" s="209">
        <f>'6'!F5</f>
        <v>443032.54999999993</v>
      </c>
      <c r="I5" s="172">
        <f>'6'!G5</f>
        <v>586301.2666666666</v>
      </c>
      <c r="J5" s="172">
        <f>'6'!H5</f>
        <v>749822.1333333333</v>
      </c>
      <c r="K5" s="172">
        <f>'6'!I5</f>
        <v>934168.7</v>
      </c>
      <c r="L5" s="172">
        <f>'6'!J5</f>
        <v>1176007.8166666667</v>
      </c>
      <c r="M5" s="172">
        <f>'6'!K5</f>
        <v>1422594.7833333332</v>
      </c>
      <c r="N5" s="172">
        <f>'6'!L5</f>
        <v>1612776.0999999999</v>
      </c>
      <c r="O5" s="172">
        <f>'6'!M5</f>
        <v>1776296.9666666666</v>
      </c>
      <c r="P5" s="172">
        <f>'6'!N5</f>
        <v>1978343.5333333332</v>
      </c>
      <c r="Q5" s="173">
        <f>'6'!C5</f>
        <v>25000</v>
      </c>
      <c r="R5" s="173">
        <f>C5</f>
        <v>25000</v>
      </c>
      <c r="S5" s="214">
        <f>Q5-R5</f>
        <v>0</v>
      </c>
      <c r="T5" s="69"/>
    </row>
    <row r="6" spans="1:20" x14ac:dyDescent="0.3">
      <c r="A6" s="200"/>
      <c r="B6" s="221"/>
      <c r="C6" s="275"/>
      <c r="D6" s="276"/>
      <c r="E6" s="196"/>
      <c r="F6" s="228"/>
      <c r="G6" s="208"/>
      <c r="H6" s="205"/>
      <c r="I6" s="69"/>
      <c r="J6" s="69"/>
      <c r="K6" s="69"/>
      <c r="L6" s="69"/>
      <c r="M6" s="69"/>
      <c r="N6" s="69"/>
      <c r="O6" s="69"/>
      <c r="P6" s="69"/>
      <c r="Q6" s="69"/>
      <c r="R6" s="69"/>
      <c r="S6" s="215"/>
      <c r="T6" s="69"/>
    </row>
    <row r="7" spans="1:20" x14ac:dyDescent="0.3">
      <c r="A7" s="68"/>
      <c r="B7" s="223" t="s">
        <v>87</v>
      </c>
      <c r="C7" s="207"/>
      <c r="D7" s="268"/>
      <c r="E7" s="197"/>
      <c r="F7" s="227"/>
      <c r="G7" s="232"/>
      <c r="H7" s="209"/>
      <c r="I7" s="172"/>
      <c r="J7" s="172"/>
      <c r="K7" s="172"/>
      <c r="L7" s="172"/>
      <c r="M7" s="172"/>
      <c r="N7" s="172"/>
      <c r="O7" s="172"/>
      <c r="P7" s="172"/>
      <c r="Q7" s="174"/>
      <c r="R7" s="174"/>
      <c r="S7" s="216"/>
      <c r="T7" s="69"/>
    </row>
    <row r="8" spans="1:20" x14ac:dyDescent="0.3">
      <c r="A8" s="68"/>
      <c r="B8" s="224" t="s">
        <v>88</v>
      </c>
      <c r="C8" s="207">
        <f>SUM('6'!C8:E8)</f>
        <v>681790.4</v>
      </c>
      <c r="D8" s="268">
        <v>450350</v>
      </c>
      <c r="E8" s="195">
        <f>D8-C8</f>
        <v>-231440.40000000002</v>
      </c>
      <c r="F8" s="227">
        <f>E8/C8</f>
        <v>-0.33945975185335553</v>
      </c>
      <c r="G8" s="232" t="s">
        <v>185</v>
      </c>
      <c r="H8" s="209">
        <f>'6'!F8</f>
        <v>249520</v>
      </c>
      <c r="I8" s="172">
        <f>'6'!G8</f>
        <v>249520</v>
      </c>
      <c r="J8" s="172">
        <f>'6'!H8</f>
        <v>294773</v>
      </c>
      <c r="K8" s="172">
        <f>'6'!I8</f>
        <v>336545</v>
      </c>
      <c r="L8" s="172">
        <f>'6'!J8</f>
        <v>336545</v>
      </c>
      <c r="M8" s="172">
        <f>'6'!K8</f>
        <v>291292</v>
      </c>
      <c r="N8" s="172">
        <f>'6'!L8</f>
        <v>249520</v>
      </c>
      <c r="O8" s="172">
        <f>'6'!M8</f>
        <v>294773</v>
      </c>
      <c r="P8" s="172">
        <f>'6'!N8</f>
        <v>336545</v>
      </c>
      <c r="Q8" s="174">
        <f>'6'!O8</f>
        <v>3320823.4</v>
      </c>
      <c r="R8" s="174">
        <f>D8+SUM(H8:P8)</f>
        <v>3089383</v>
      </c>
      <c r="S8" s="214">
        <f>R8-Q8</f>
        <v>-231440.39999999991</v>
      </c>
      <c r="T8" s="69"/>
    </row>
    <row r="9" spans="1:20" x14ac:dyDescent="0.3">
      <c r="A9" s="68"/>
      <c r="B9" s="222" t="s">
        <v>89</v>
      </c>
      <c r="C9" s="277">
        <f>SUM(C5:C8)</f>
        <v>706790.40000000002</v>
      </c>
      <c r="D9" s="271">
        <f>SUM(D5:D8)</f>
        <v>475350</v>
      </c>
      <c r="E9" s="198">
        <f>SUM(E5:E8)</f>
        <v>-231440.40000000002</v>
      </c>
      <c r="F9" s="229"/>
      <c r="G9" s="232"/>
      <c r="H9" s="210">
        <f t="shared" ref="H9:Q9" si="0">SUM(H5:H8)</f>
        <v>692552.54999999993</v>
      </c>
      <c r="I9" s="176">
        <f t="shared" si="0"/>
        <v>835821.2666666666</v>
      </c>
      <c r="J9" s="176">
        <f t="shared" si="0"/>
        <v>1044595.1333333333</v>
      </c>
      <c r="K9" s="176">
        <f t="shared" si="0"/>
        <v>1270713.7</v>
      </c>
      <c r="L9" s="176">
        <f t="shared" si="0"/>
        <v>1512552.8166666667</v>
      </c>
      <c r="M9" s="176">
        <f t="shared" si="0"/>
        <v>1713886.7833333332</v>
      </c>
      <c r="N9" s="176">
        <f t="shared" si="0"/>
        <v>1862296.0999999999</v>
      </c>
      <c r="O9" s="176">
        <f t="shared" si="0"/>
        <v>2071069.9666666666</v>
      </c>
      <c r="P9" s="176">
        <f t="shared" si="0"/>
        <v>2314888.5333333332</v>
      </c>
      <c r="Q9" s="177">
        <f t="shared" si="0"/>
        <v>3345823.4</v>
      </c>
      <c r="R9" s="177">
        <f>SUM(R5:R8)</f>
        <v>3114383</v>
      </c>
      <c r="S9" s="217">
        <f>SUM(S5:S8)</f>
        <v>-231440.39999999991</v>
      </c>
      <c r="T9" s="69"/>
    </row>
    <row r="10" spans="1:20" x14ac:dyDescent="0.3">
      <c r="A10" s="200"/>
      <c r="B10" s="221"/>
      <c r="C10" s="275"/>
      <c r="D10" s="276"/>
      <c r="E10" s="196"/>
      <c r="F10" s="228"/>
      <c r="G10" s="208"/>
      <c r="H10" s="205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215"/>
      <c r="T10" s="69"/>
    </row>
    <row r="11" spans="1:20" x14ac:dyDescent="0.3">
      <c r="A11" s="68"/>
      <c r="B11" s="223" t="s">
        <v>90</v>
      </c>
      <c r="C11" s="207"/>
      <c r="D11" s="268"/>
      <c r="E11" s="197"/>
      <c r="F11" s="227"/>
      <c r="G11" s="232"/>
      <c r="H11" s="209"/>
      <c r="I11" s="172"/>
      <c r="J11" s="172"/>
      <c r="K11" s="172"/>
      <c r="L11" s="172"/>
      <c r="M11" s="172"/>
      <c r="N11" s="172"/>
      <c r="O11" s="172"/>
      <c r="P11" s="172"/>
      <c r="Q11" s="174"/>
      <c r="R11" s="174"/>
      <c r="S11" s="216"/>
      <c r="T11" s="69"/>
    </row>
    <row r="12" spans="1:20" x14ac:dyDescent="0.3">
      <c r="A12" s="68"/>
      <c r="B12" s="224" t="s">
        <v>162</v>
      </c>
      <c r="C12" s="207">
        <f>SUM('6'!C12:E12)</f>
        <v>51922.85</v>
      </c>
      <c r="D12" s="268">
        <v>65400</v>
      </c>
      <c r="E12" s="195">
        <f>C12-D12</f>
        <v>-13477.150000000001</v>
      </c>
      <c r="F12" s="227">
        <f>E12/C12</f>
        <v>-0.2595610603038932</v>
      </c>
      <c r="G12" s="232" t="s">
        <v>185</v>
      </c>
      <c r="H12" s="209">
        <f>'6'!F12</f>
        <v>21372.95</v>
      </c>
      <c r="I12" s="172">
        <f>'6'!G12</f>
        <v>22812.550000000003</v>
      </c>
      <c r="J12" s="172">
        <f>'6'!H12</f>
        <v>26231.600000000002</v>
      </c>
      <c r="K12" s="172">
        <f>'6'!I12</f>
        <v>28211.050000000003</v>
      </c>
      <c r="L12" s="172">
        <f>'6'!J12</f>
        <v>26771.45</v>
      </c>
      <c r="M12" s="172">
        <f>'6'!K12</f>
        <v>23532.35</v>
      </c>
      <c r="N12" s="172">
        <f>'6'!L12</f>
        <v>22812.550000000003</v>
      </c>
      <c r="O12" s="172">
        <f>'6'!M12</f>
        <v>26231.600000000002</v>
      </c>
      <c r="P12" s="172">
        <f>'6'!N12</f>
        <v>28211.050000000003</v>
      </c>
      <c r="Q12" s="174">
        <f>'6'!O12</f>
        <v>278110.00000000006</v>
      </c>
      <c r="R12" s="174">
        <f>D12+SUM(H12:P12)</f>
        <v>291587.15000000002</v>
      </c>
      <c r="S12" s="214">
        <f>Q12-R12</f>
        <v>-13477.149999999965</v>
      </c>
      <c r="T12" s="69"/>
    </row>
    <row r="13" spans="1:20" x14ac:dyDescent="0.3">
      <c r="A13" s="200"/>
      <c r="B13" s="221"/>
      <c r="C13" s="275"/>
      <c r="D13" s="276"/>
      <c r="E13" s="196"/>
      <c r="F13" s="228"/>
      <c r="G13" s="208"/>
      <c r="H13" s="205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215"/>
      <c r="T13" s="69"/>
    </row>
    <row r="14" spans="1:20" x14ac:dyDescent="0.3">
      <c r="A14" s="68"/>
      <c r="B14" s="224" t="s">
        <v>77</v>
      </c>
      <c r="C14" s="207"/>
      <c r="D14" s="268"/>
      <c r="E14" s="197"/>
      <c r="F14" s="227"/>
      <c r="G14" s="232"/>
      <c r="H14" s="209"/>
      <c r="I14" s="172"/>
      <c r="J14" s="172"/>
      <c r="K14" s="172"/>
      <c r="L14" s="172"/>
      <c r="M14" s="172"/>
      <c r="N14" s="172"/>
      <c r="O14" s="172"/>
      <c r="P14" s="172"/>
      <c r="Q14" s="174"/>
      <c r="R14" s="174"/>
      <c r="S14" s="216"/>
      <c r="T14" s="69"/>
    </row>
    <row r="15" spans="1:20" x14ac:dyDescent="0.3">
      <c r="A15" s="68"/>
      <c r="B15" s="225" t="str">
        <f>'4'!B6</f>
        <v>Indirect Labour</v>
      </c>
      <c r="C15" s="207">
        <f>SUM('6'!C15:E15)</f>
        <v>18360</v>
      </c>
      <c r="D15" s="268">
        <v>18500</v>
      </c>
      <c r="E15" s="195">
        <f t="shared" ref="E15:E17" si="1">C15-D15</f>
        <v>-140</v>
      </c>
      <c r="F15" s="227">
        <f t="shared" ref="F15:F17" si="2">E15/C15</f>
        <v>-7.6252723311546842E-3</v>
      </c>
      <c r="G15" s="232" t="s">
        <v>186</v>
      </c>
      <c r="H15" s="209">
        <f>'6'!F15</f>
        <v>6120</v>
      </c>
      <c r="I15" s="172">
        <f>'6'!G15</f>
        <v>7241.9999999999991</v>
      </c>
      <c r="J15" s="172">
        <f>'6'!H15</f>
        <v>8364</v>
      </c>
      <c r="K15" s="172">
        <f>'6'!I15</f>
        <v>8364</v>
      </c>
      <c r="L15" s="172">
        <f>'6'!J15</f>
        <v>7241.9999999999991</v>
      </c>
      <c r="M15" s="172">
        <f>'6'!K15</f>
        <v>6120</v>
      </c>
      <c r="N15" s="172">
        <f>'6'!L15</f>
        <v>7241.9999999999991</v>
      </c>
      <c r="O15" s="172">
        <f>'6'!M15</f>
        <v>8364</v>
      </c>
      <c r="P15" s="172">
        <f>'6'!N15</f>
        <v>8364</v>
      </c>
      <c r="Q15" s="174">
        <f>'6'!O15</f>
        <v>85782</v>
      </c>
      <c r="R15" s="174">
        <f>D15+SUM(H15:P15)</f>
        <v>85922</v>
      </c>
      <c r="S15" s="214">
        <f t="shared" ref="S15:S17" si="3">Q15-R15</f>
        <v>-140</v>
      </c>
      <c r="T15" s="69"/>
    </row>
    <row r="16" spans="1:20" x14ac:dyDescent="0.3">
      <c r="A16" s="68"/>
      <c r="B16" s="225" t="str">
        <f>'4'!B7</f>
        <v>Indirect Materials</v>
      </c>
      <c r="C16" s="207">
        <f>SUM('6'!C16:E16)</f>
        <v>24525</v>
      </c>
      <c r="D16" s="268">
        <v>32500</v>
      </c>
      <c r="E16" s="195">
        <f t="shared" si="1"/>
        <v>-7975</v>
      </c>
      <c r="F16" s="227">
        <f t="shared" si="2"/>
        <v>-0.32517838939857291</v>
      </c>
      <c r="G16" s="232" t="s">
        <v>185</v>
      </c>
      <c r="H16" s="209">
        <f>'6'!F16</f>
        <v>8175</v>
      </c>
      <c r="I16" s="172">
        <f>'6'!G16</f>
        <v>9673.75</v>
      </c>
      <c r="J16" s="172">
        <f>'6'!H16</f>
        <v>11172.5</v>
      </c>
      <c r="K16" s="172">
        <f>'6'!I16</f>
        <v>11172.5</v>
      </c>
      <c r="L16" s="172">
        <f>'6'!J16</f>
        <v>9673.75</v>
      </c>
      <c r="M16" s="172">
        <f>'6'!K16</f>
        <v>8175</v>
      </c>
      <c r="N16" s="172">
        <f>'6'!L16</f>
        <v>9673.75</v>
      </c>
      <c r="O16" s="172">
        <f>'6'!M16</f>
        <v>11172.5</v>
      </c>
      <c r="P16" s="172">
        <f>'6'!N16</f>
        <v>11172.5</v>
      </c>
      <c r="Q16" s="174">
        <f>'6'!O16</f>
        <v>114586.25</v>
      </c>
      <c r="R16" s="174">
        <f>D16+SUM(H16:P16)</f>
        <v>122561.25</v>
      </c>
      <c r="S16" s="214">
        <f t="shared" si="3"/>
        <v>-7975</v>
      </c>
      <c r="T16" s="69"/>
    </row>
    <row r="17" spans="1:20" x14ac:dyDescent="0.3">
      <c r="A17" s="68"/>
      <c r="B17" s="225" t="str">
        <f>'4'!B8</f>
        <v>Maching cost</v>
      </c>
      <c r="C17" s="207">
        <f>SUM('6'!C17:E17)</f>
        <v>11250</v>
      </c>
      <c r="D17" s="268">
        <v>12000</v>
      </c>
      <c r="E17" s="195">
        <f t="shared" si="1"/>
        <v>-750</v>
      </c>
      <c r="F17" s="227">
        <f t="shared" si="2"/>
        <v>-6.6666666666666666E-2</v>
      </c>
      <c r="G17" s="232" t="s">
        <v>185</v>
      </c>
      <c r="H17" s="209">
        <f>'6'!F17</f>
        <v>3750</v>
      </c>
      <c r="I17" s="172">
        <f>'6'!G17</f>
        <v>4437.5</v>
      </c>
      <c r="J17" s="172">
        <f>'6'!H17</f>
        <v>5125</v>
      </c>
      <c r="K17" s="172">
        <f>'6'!I17</f>
        <v>5125</v>
      </c>
      <c r="L17" s="172">
        <f>'6'!J17</f>
        <v>4437.5</v>
      </c>
      <c r="M17" s="172">
        <f>'6'!K17</f>
        <v>3750</v>
      </c>
      <c r="N17" s="172">
        <f>'6'!L17</f>
        <v>4437.5</v>
      </c>
      <c r="O17" s="172">
        <f>'6'!M17</f>
        <v>5125</v>
      </c>
      <c r="P17" s="172">
        <f>'6'!N17</f>
        <v>5125</v>
      </c>
      <c r="Q17" s="174">
        <f>'6'!O17</f>
        <v>52562.5</v>
      </c>
      <c r="R17" s="174">
        <f>D17+SUM(H17:P17)</f>
        <v>53312.5</v>
      </c>
      <c r="S17" s="214">
        <f t="shared" si="3"/>
        <v>-750</v>
      </c>
      <c r="T17" s="69"/>
    </row>
    <row r="18" spans="1:20" x14ac:dyDescent="0.3">
      <c r="A18" s="200"/>
      <c r="B18" s="221"/>
      <c r="C18" s="275"/>
      <c r="D18" s="276"/>
      <c r="E18" s="196"/>
      <c r="F18" s="228"/>
      <c r="G18" s="208"/>
      <c r="H18" s="205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215"/>
      <c r="T18" s="69"/>
    </row>
    <row r="19" spans="1:20" x14ac:dyDescent="0.3">
      <c r="A19" s="68"/>
      <c r="B19" s="224" t="s">
        <v>78</v>
      </c>
      <c r="C19" s="207"/>
      <c r="D19" s="268"/>
      <c r="E19" s="197"/>
      <c r="F19" s="227"/>
      <c r="G19" s="232"/>
      <c r="H19" s="209"/>
      <c r="I19" s="172"/>
      <c r="J19" s="172"/>
      <c r="K19" s="172"/>
      <c r="L19" s="172"/>
      <c r="M19" s="172"/>
      <c r="N19" s="172"/>
      <c r="O19" s="172"/>
      <c r="P19" s="172"/>
      <c r="Q19" s="174"/>
      <c r="R19" s="174"/>
      <c r="S19" s="216"/>
      <c r="T19" s="69"/>
    </row>
    <row r="20" spans="1:20" x14ac:dyDescent="0.3">
      <c r="A20" s="68"/>
      <c r="B20" s="225" t="str">
        <f>'4'!B12</f>
        <v>Electricty, water and gas</v>
      </c>
      <c r="C20" s="207">
        <f>SUM('6'!C20:E20)</f>
        <v>1200</v>
      </c>
      <c r="D20" s="268">
        <f>1200</f>
        <v>1200</v>
      </c>
      <c r="E20" s="195">
        <f t="shared" ref="E20:E23" si="4">C20-D20</f>
        <v>0</v>
      </c>
      <c r="F20" s="227">
        <f t="shared" ref="F20:F23" si="5">E20/C20</f>
        <v>0</v>
      </c>
      <c r="G20" s="232"/>
      <c r="H20" s="209">
        <f>'6'!F20</f>
        <v>0</v>
      </c>
      <c r="I20" s="172">
        <f>'6'!G20</f>
        <v>0</v>
      </c>
      <c r="J20" s="172">
        <f>'6'!H20</f>
        <v>1200</v>
      </c>
      <c r="K20" s="172">
        <f>'6'!I20</f>
        <v>0</v>
      </c>
      <c r="L20" s="172">
        <f>'6'!J20</f>
        <v>0</v>
      </c>
      <c r="M20" s="172">
        <f>'6'!K20</f>
        <v>1200</v>
      </c>
      <c r="N20" s="172">
        <f>'6'!L20</f>
        <v>0</v>
      </c>
      <c r="O20" s="172">
        <f>'6'!M20</f>
        <v>0</v>
      </c>
      <c r="P20" s="172">
        <f>'6'!N20</f>
        <v>1200</v>
      </c>
      <c r="Q20" s="174">
        <f>'6'!O20</f>
        <v>4800</v>
      </c>
      <c r="R20" s="174">
        <f>D20+SUM(H20:P20)</f>
        <v>4800</v>
      </c>
      <c r="S20" s="214">
        <f t="shared" ref="S20:S23" si="6">Q20-R20</f>
        <v>0</v>
      </c>
      <c r="T20" s="69"/>
    </row>
    <row r="21" spans="1:20" x14ac:dyDescent="0.3">
      <c r="A21" s="68"/>
      <c r="B21" s="225" t="str">
        <f>'4'!B13</f>
        <v>Manufacturing Insurance</v>
      </c>
      <c r="C21" s="207">
        <f>SUM('6'!C21:E21)</f>
        <v>14500</v>
      </c>
      <c r="D21" s="268">
        <v>3000</v>
      </c>
      <c r="E21" s="195">
        <f t="shared" si="4"/>
        <v>11500</v>
      </c>
      <c r="F21" s="227">
        <f t="shared" si="5"/>
        <v>0.7931034482758621</v>
      </c>
      <c r="G21" s="232" t="s">
        <v>186</v>
      </c>
      <c r="H21" s="209">
        <f>'6'!F21</f>
        <v>0</v>
      </c>
      <c r="I21" s="172">
        <v>11500</v>
      </c>
      <c r="J21" s="172">
        <f>'6'!H21</f>
        <v>0</v>
      </c>
      <c r="K21" s="172">
        <f>'6'!I21</f>
        <v>0</v>
      </c>
      <c r="L21" s="172">
        <f>'6'!J21</f>
        <v>0</v>
      </c>
      <c r="M21" s="172">
        <f>'6'!K21</f>
        <v>0</v>
      </c>
      <c r="N21" s="172">
        <f>'6'!L21</f>
        <v>0</v>
      </c>
      <c r="O21" s="172">
        <f>'6'!M21</f>
        <v>0</v>
      </c>
      <c r="P21" s="172">
        <f>'6'!N21</f>
        <v>0</v>
      </c>
      <c r="Q21" s="174">
        <f>'6'!O21</f>
        <v>14500</v>
      </c>
      <c r="R21" s="174">
        <f>D21+SUM(H21:P21)</f>
        <v>14500</v>
      </c>
      <c r="S21" s="214">
        <f t="shared" si="6"/>
        <v>0</v>
      </c>
      <c r="T21" s="69"/>
    </row>
    <row r="22" spans="1:20" x14ac:dyDescent="0.3">
      <c r="A22" s="68"/>
      <c r="B22" s="225" t="str">
        <f>'4'!B14</f>
        <v>Manufactuirng Team's Salary</v>
      </c>
      <c r="C22" s="207">
        <f>SUM('6'!C22:E22)</f>
        <v>100000</v>
      </c>
      <c r="D22" s="268">
        <v>120000</v>
      </c>
      <c r="E22" s="195">
        <f t="shared" si="4"/>
        <v>-20000</v>
      </c>
      <c r="F22" s="227">
        <f t="shared" si="5"/>
        <v>-0.2</v>
      </c>
      <c r="G22" s="232" t="s">
        <v>185</v>
      </c>
      <c r="H22" s="209">
        <f>'6'!F22+ ((20000*3)/9)</f>
        <v>40000</v>
      </c>
      <c r="I22" s="172">
        <f>'6'!G22+ ((20000*3)/9)</f>
        <v>40000</v>
      </c>
      <c r="J22" s="172">
        <f>'6'!H22+ ((20000*3)/9)</f>
        <v>40000</v>
      </c>
      <c r="K22" s="172">
        <f>'6'!I22+ ((20000*3)/9)</f>
        <v>40000</v>
      </c>
      <c r="L22" s="172">
        <f>'6'!J22+ ((20000*3)/9)</f>
        <v>40000</v>
      </c>
      <c r="M22" s="172">
        <f>'6'!K22+ ((20000*3)/9)</f>
        <v>40000</v>
      </c>
      <c r="N22" s="172">
        <f>'6'!L22+ ((20000*3)/9)</f>
        <v>40000</v>
      </c>
      <c r="O22" s="172">
        <f>'6'!M22+ ((20000*3)/9)</f>
        <v>40000</v>
      </c>
      <c r="P22" s="172">
        <f>'6'!N22+ ((20000*3)/9)</f>
        <v>40000</v>
      </c>
      <c r="Q22" s="174">
        <f>'6'!O22</f>
        <v>399999.99999999994</v>
      </c>
      <c r="R22" s="174">
        <f>D22+SUM(H22:P22)</f>
        <v>480000</v>
      </c>
      <c r="S22" s="214">
        <f t="shared" si="6"/>
        <v>-80000.000000000058</v>
      </c>
      <c r="T22" s="69"/>
    </row>
    <row r="23" spans="1:20" x14ac:dyDescent="0.3">
      <c r="A23" s="68"/>
      <c r="B23" s="225" t="str">
        <f>'4'!B15</f>
        <v>Factory Maintenance</v>
      </c>
      <c r="C23" s="207">
        <f>SUM('6'!C23:E23)</f>
        <v>15000</v>
      </c>
      <c r="D23" s="268">
        <v>14950</v>
      </c>
      <c r="E23" s="195">
        <f t="shared" si="4"/>
        <v>50</v>
      </c>
      <c r="F23" s="227">
        <f t="shared" si="5"/>
        <v>3.3333333333333335E-3</v>
      </c>
      <c r="G23" s="232"/>
      <c r="H23" s="209">
        <f>'6'!F23</f>
        <v>0</v>
      </c>
      <c r="I23" s="172">
        <f>'6'!G23</f>
        <v>0</v>
      </c>
      <c r="J23" s="172">
        <f>'6'!H23</f>
        <v>15000</v>
      </c>
      <c r="K23" s="172">
        <f>'6'!I23</f>
        <v>0</v>
      </c>
      <c r="L23" s="172">
        <f>'6'!J23</f>
        <v>0</v>
      </c>
      <c r="M23" s="172">
        <f>'6'!K23</f>
        <v>15000</v>
      </c>
      <c r="N23" s="172">
        <f>'6'!L23</f>
        <v>0</v>
      </c>
      <c r="O23" s="172">
        <f>'6'!M23</f>
        <v>0</v>
      </c>
      <c r="P23" s="172">
        <f>'6'!N23</f>
        <v>15000</v>
      </c>
      <c r="Q23" s="174">
        <f>'6'!O23</f>
        <v>60000</v>
      </c>
      <c r="R23" s="174">
        <f>D23+SUM(H23:P23)</f>
        <v>59950</v>
      </c>
      <c r="S23" s="214">
        <f t="shared" si="6"/>
        <v>50</v>
      </c>
      <c r="T23" s="69"/>
    </row>
    <row r="24" spans="1:20" x14ac:dyDescent="0.3">
      <c r="A24" s="200"/>
      <c r="B24" s="221"/>
      <c r="C24" s="275"/>
      <c r="D24" s="276"/>
      <c r="E24" s="196"/>
      <c r="F24" s="228"/>
      <c r="G24" s="208"/>
      <c r="H24" s="205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215"/>
      <c r="T24" s="69"/>
    </row>
    <row r="25" spans="1:20" x14ac:dyDescent="0.3">
      <c r="A25" s="68"/>
      <c r="B25" s="224" t="s">
        <v>91</v>
      </c>
      <c r="C25" s="207"/>
      <c r="D25" s="268"/>
      <c r="E25" s="197"/>
      <c r="F25" s="227"/>
      <c r="G25" s="232"/>
      <c r="H25" s="209"/>
      <c r="I25" s="172"/>
      <c r="J25" s="172"/>
      <c r="K25" s="172"/>
      <c r="L25" s="172"/>
      <c r="M25" s="172"/>
      <c r="N25" s="172"/>
      <c r="O25" s="172"/>
      <c r="P25" s="172"/>
      <c r="Q25" s="174"/>
      <c r="R25" s="174"/>
      <c r="S25" s="216"/>
      <c r="T25" s="69"/>
    </row>
    <row r="26" spans="1:20" x14ac:dyDescent="0.3">
      <c r="A26" s="68"/>
      <c r="B26" s="225" t="str">
        <f>'4'!B22</f>
        <v>Electricty, water and gas</v>
      </c>
      <c r="C26" s="207">
        <f>SUM('6'!C26:E26)</f>
        <v>1500</v>
      </c>
      <c r="D26" s="268">
        <v>1500</v>
      </c>
      <c r="E26" s="195">
        <f t="shared" ref="E26:E29" si="7">C26-D26</f>
        <v>0</v>
      </c>
      <c r="F26" s="227">
        <f t="shared" ref="F26:F29" si="8">E26/C26</f>
        <v>0</v>
      </c>
      <c r="G26" s="232"/>
      <c r="H26" s="209">
        <f>'6'!F26</f>
        <v>0</v>
      </c>
      <c r="I26" s="172">
        <f>'6'!G26</f>
        <v>0</v>
      </c>
      <c r="J26" s="172">
        <f>'6'!H26</f>
        <v>1500</v>
      </c>
      <c r="K26" s="172">
        <f>'6'!I26</f>
        <v>0</v>
      </c>
      <c r="L26" s="172">
        <f>'6'!J26</f>
        <v>0</v>
      </c>
      <c r="M26" s="172">
        <f>'6'!K26</f>
        <v>1500</v>
      </c>
      <c r="N26" s="172">
        <f>'6'!L26</f>
        <v>0</v>
      </c>
      <c r="O26" s="172">
        <f>'6'!M26</f>
        <v>0</v>
      </c>
      <c r="P26" s="172">
        <f>'6'!N26</f>
        <v>1500</v>
      </c>
      <c r="Q26" s="174">
        <f>'6'!O26</f>
        <v>6000</v>
      </c>
      <c r="R26" s="174">
        <f>D26+SUM(H26:P26)</f>
        <v>6000</v>
      </c>
      <c r="S26" s="214">
        <f t="shared" ref="S26:S29" si="9">Q26-R26</f>
        <v>0</v>
      </c>
      <c r="T26" s="69"/>
    </row>
    <row r="27" spans="1:20" x14ac:dyDescent="0.3">
      <c r="A27" s="68"/>
      <c r="B27" s="225" t="str">
        <f>'4'!B23</f>
        <v>Business Insurance</v>
      </c>
      <c r="C27" s="207">
        <f>SUM('6'!C27:E27)</f>
        <v>0</v>
      </c>
      <c r="D27" s="268">
        <v>25000</v>
      </c>
      <c r="E27" s="195">
        <f t="shared" si="7"/>
        <v>-25000</v>
      </c>
      <c r="F27" s="227">
        <v>1</v>
      </c>
      <c r="G27" s="232" t="s">
        <v>185</v>
      </c>
      <c r="H27" s="209">
        <f>'6'!F27</f>
        <v>25000</v>
      </c>
      <c r="I27" s="172">
        <f>'6'!G27</f>
        <v>0</v>
      </c>
      <c r="J27" s="172">
        <f>'6'!H27</f>
        <v>0</v>
      </c>
      <c r="K27" s="172">
        <f>'6'!I27</f>
        <v>0</v>
      </c>
      <c r="L27" s="172">
        <f>'6'!J27</f>
        <v>0</v>
      </c>
      <c r="M27" s="172">
        <f>'6'!K27</f>
        <v>0</v>
      </c>
      <c r="N27" s="172">
        <f>'6'!L27</f>
        <v>0</v>
      </c>
      <c r="O27" s="172">
        <f>'6'!M27</f>
        <v>0</v>
      </c>
      <c r="P27" s="172">
        <f>'6'!N27</f>
        <v>0</v>
      </c>
      <c r="Q27" s="174">
        <f>'6'!O27</f>
        <v>25000</v>
      </c>
      <c r="R27" s="174">
        <f>D27+SUM(H27:P27)-H27</f>
        <v>25000</v>
      </c>
      <c r="S27" s="214">
        <f t="shared" si="9"/>
        <v>0</v>
      </c>
      <c r="T27" s="69"/>
    </row>
    <row r="28" spans="1:20" x14ac:dyDescent="0.3">
      <c r="A28" s="68"/>
      <c r="B28" s="225" t="str">
        <f>'4'!B24</f>
        <v>Administrative Wages</v>
      </c>
      <c r="C28" s="207">
        <f>SUM('6'!C28:E28)</f>
        <v>24000</v>
      </c>
      <c r="D28" s="268">
        <v>24000</v>
      </c>
      <c r="E28" s="195">
        <f t="shared" si="7"/>
        <v>0</v>
      </c>
      <c r="F28" s="227">
        <f t="shared" si="8"/>
        <v>0</v>
      </c>
      <c r="G28" s="232" t="s">
        <v>186</v>
      </c>
      <c r="H28" s="209">
        <f>'6'!F28</f>
        <v>8000</v>
      </c>
      <c r="I28" s="172">
        <f>'6'!G28</f>
        <v>8000</v>
      </c>
      <c r="J28" s="172">
        <f>'6'!H28</f>
        <v>8000</v>
      </c>
      <c r="K28" s="172">
        <f>'6'!I28</f>
        <v>8000</v>
      </c>
      <c r="L28" s="172">
        <f>'6'!J28</f>
        <v>8000</v>
      </c>
      <c r="M28" s="172">
        <f>'6'!K28</f>
        <v>8000</v>
      </c>
      <c r="N28" s="172">
        <f>'6'!L28</f>
        <v>8000</v>
      </c>
      <c r="O28" s="172">
        <f>'6'!M28</f>
        <v>8000</v>
      </c>
      <c r="P28" s="172">
        <f>'6'!N28</f>
        <v>8000</v>
      </c>
      <c r="Q28" s="174">
        <f>'6'!O28</f>
        <v>96000</v>
      </c>
      <c r="R28" s="174">
        <f>D28+SUM(H28:P28)</f>
        <v>96000</v>
      </c>
      <c r="S28" s="214">
        <f t="shared" si="9"/>
        <v>0</v>
      </c>
      <c r="T28" s="69"/>
    </row>
    <row r="29" spans="1:20" x14ac:dyDescent="0.3">
      <c r="A29" s="68"/>
      <c r="B29" s="225" t="str">
        <f>'4'!B25</f>
        <v>General Office Expenses</v>
      </c>
      <c r="C29" s="207">
        <f>SUM('6'!C29:E29)</f>
        <v>1500</v>
      </c>
      <c r="D29" s="268">
        <v>1500</v>
      </c>
      <c r="E29" s="195">
        <f t="shared" si="7"/>
        <v>0</v>
      </c>
      <c r="F29" s="227">
        <f t="shared" si="8"/>
        <v>0</v>
      </c>
      <c r="G29" s="232" t="s">
        <v>186</v>
      </c>
      <c r="H29" s="209">
        <f>'6'!F29</f>
        <v>500</v>
      </c>
      <c r="I29" s="172">
        <f>'6'!G29</f>
        <v>500</v>
      </c>
      <c r="J29" s="172">
        <f>'6'!H29</f>
        <v>500</v>
      </c>
      <c r="K29" s="172">
        <f>'6'!I29</f>
        <v>500</v>
      </c>
      <c r="L29" s="172">
        <f>'6'!J29</f>
        <v>500</v>
      </c>
      <c r="M29" s="172">
        <f>'6'!K29</f>
        <v>500</v>
      </c>
      <c r="N29" s="172">
        <f>'6'!L29</f>
        <v>500</v>
      </c>
      <c r="O29" s="172">
        <f>'6'!M29</f>
        <v>500</v>
      </c>
      <c r="P29" s="172">
        <f>'6'!N29</f>
        <v>500</v>
      </c>
      <c r="Q29" s="174">
        <f>'6'!O29</f>
        <v>6000</v>
      </c>
      <c r="R29" s="174">
        <f>D29+SUM(H29:P29)</f>
        <v>6000</v>
      </c>
      <c r="S29" s="214">
        <f t="shared" si="9"/>
        <v>0</v>
      </c>
      <c r="T29" s="69"/>
    </row>
    <row r="30" spans="1:20" x14ac:dyDescent="0.3">
      <c r="A30" s="200"/>
      <c r="B30" s="221"/>
      <c r="C30" s="275"/>
      <c r="D30" s="276"/>
      <c r="E30" s="196"/>
      <c r="F30" s="228"/>
      <c r="G30" s="208"/>
      <c r="H30" s="205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215"/>
      <c r="T30" s="69"/>
    </row>
    <row r="31" spans="1:20" x14ac:dyDescent="0.3">
      <c r="A31" s="68"/>
      <c r="B31" s="222" t="s">
        <v>92</v>
      </c>
      <c r="C31" s="207">
        <f>SUM(C12:C29)</f>
        <v>263757.84999999998</v>
      </c>
      <c r="D31" s="268">
        <f>SUM(D12:D29)</f>
        <v>319550</v>
      </c>
      <c r="E31" s="197">
        <f>C31-D31</f>
        <v>-55792.150000000023</v>
      </c>
      <c r="F31" s="227">
        <f>E31/C31</f>
        <v>-0.21152792229690995</v>
      </c>
      <c r="G31" s="232" t="s">
        <v>185</v>
      </c>
      <c r="H31" s="209">
        <f t="shared" ref="H31:S31" si="10">SUM(H12:H29)</f>
        <v>112917.95</v>
      </c>
      <c r="I31" s="172">
        <f t="shared" si="10"/>
        <v>104165.8</v>
      </c>
      <c r="J31" s="172">
        <f t="shared" si="10"/>
        <v>117093.1</v>
      </c>
      <c r="K31" s="172">
        <f t="shared" si="10"/>
        <v>101372.55</v>
      </c>
      <c r="L31" s="172">
        <f t="shared" si="10"/>
        <v>96624.7</v>
      </c>
      <c r="M31" s="172">
        <f t="shared" si="10"/>
        <v>107777.35</v>
      </c>
      <c r="N31" s="172">
        <f t="shared" si="10"/>
        <v>92665.8</v>
      </c>
      <c r="O31" s="172">
        <f t="shared" si="10"/>
        <v>99393.1</v>
      </c>
      <c r="P31" s="172">
        <f t="shared" si="10"/>
        <v>119072.55</v>
      </c>
      <c r="Q31" s="174">
        <f t="shared" si="10"/>
        <v>1143340.75</v>
      </c>
      <c r="R31" s="174">
        <f t="shared" si="10"/>
        <v>1245632.8999999999</v>
      </c>
      <c r="S31" s="216">
        <f t="shared" si="10"/>
        <v>-102292.15000000002</v>
      </c>
      <c r="T31" s="69"/>
    </row>
    <row r="32" spans="1:20" x14ac:dyDescent="0.3">
      <c r="A32" s="200"/>
      <c r="B32" s="221"/>
      <c r="C32" s="275"/>
      <c r="D32" s="276"/>
      <c r="E32" s="196"/>
      <c r="F32" s="228"/>
      <c r="G32" s="208"/>
      <c r="H32" s="205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215"/>
      <c r="T32" s="69"/>
    </row>
    <row r="33" spans="1:20" ht="15" thickBot="1" x14ac:dyDescent="0.35">
      <c r="A33" s="68"/>
      <c r="B33" s="226" t="s">
        <v>93</v>
      </c>
      <c r="C33" s="278">
        <f>C9-C31</f>
        <v>443032.55000000005</v>
      </c>
      <c r="D33" s="279">
        <f>D9-D31</f>
        <v>155800</v>
      </c>
      <c r="E33" s="213">
        <f>D33-C33</f>
        <v>-287232.55000000005</v>
      </c>
      <c r="F33" s="230">
        <f>E33/C33</f>
        <v>-0.64833283694392208</v>
      </c>
      <c r="G33" s="233" t="s">
        <v>185</v>
      </c>
      <c r="H33" s="211">
        <f t="shared" ref="H33:R33" si="11">H9-H31</f>
        <v>579634.6</v>
      </c>
      <c r="I33" s="212">
        <f t="shared" si="11"/>
        <v>731655.46666666656</v>
      </c>
      <c r="J33" s="212">
        <f t="shared" si="11"/>
        <v>927502.03333333333</v>
      </c>
      <c r="K33" s="212">
        <f t="shared" si="11"/>
        <v>1169341.1499999999</v>
      </c>
      <c r="L33" s="212">
        <f t="shared" si="11"/>
        <v>1415928.1166666667</v>
      </c>
      <c r="M33" s="212">
        <f t="shared" si="11"/>
        <v>1606109.4333333331</v>
      </c>
      <c r="N33" s="212">
        <f t="shared" si="11"/>
        <v>1769630.2999999998</v>
      </c>
      <c r="O33" s="212">
        <f t="shared" si="11"/>
        <v>1971676.8666666665</v>
      </c>
      <c r="P33" s="212">
        <f t="shared" si="11"/>
        <v>2195815.9833333334</v>
      </c>
      <c r="Q33" s="218">
        <f t="shared" si="11"/>
        <v>2202482.65</v>
      </c>
      <c r="R33" s="218">
        <f t="shared" si="11"/>
        <v>1868750.1</v>
      </c>
      <c r="S33" s="219">
        <f>R33-Q33</f>
        <v>-333732.54999999981</v>
      </c>
      <c r="T33" s="69"/>
    </row>
    <row r="34" spans="1:20" x14ac:dyDescent="0.3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</row>
    <row r="36" spans="1:20" x14ac:dyDescent="0.3">
      <c r="B36" s="199" t="s">
        <v>176</v>
      </c>
      <c r="E36" s="199" t="s">
        <v>177</v>
      </c>
      <c r="F36" s="199"/>
      <c r="G36" s="199"/>
    </row>
    <row r="37" spans="1:20" x14ac:dyDescent="0.3">
      <c r="B37" s="35" t="s">
        <v>171</v>
      </c>
      <c r="E37" s="35" t="s">
        <v>178</v>
      </c>
    </row>
    <row r="38" spans="1:20" x14ac:dyDescent="0.3">
      <c r="B38" s="35" t="s">
        <v>172</v>
      </c>
      <c r="E38" s="35" t="s">
        <v>173</v>
      </c>
    </row>
    <row r="39" spans="1:20" x14ac:dyDescent="0.3">
      <c r="B39" s="35" t="s">
        <v>206</v>
      </c>
      <c r="E39" s="35" t="s">
        <v>207</v>
      </c>
    </row>
    <row r="40" spans="1:20" x14ac:dyDescent="0.3">
      <c r="B40" s="35" t="s">
        <v>174</v>
      </c>
      <c r="E40" s="35" t="s">
        <v>175</v>
      </c>
    </row>
    <row r="41" spans="1:20" x14ac:dyDescent="0.3">
      <c r="B41" s="35" t="s">
        <v>208</v>
      </c>
    </row>
    <row r="43" spans="1:20" x14ac:dyDescent="0.3">
      <c r="B43" s="199" t="s">
        <v>179</v>
      </c>
    </row>
    <row r="44" spans="1:20" x14ac:dyDescent="0.3">
      <c r="B44" s="35" t="s">
        <v>180</v>
      </c>
    </row>
    <row r="45" spans="1:20" x14ac:dyDescent="0.3">
      <c r="B45" s="35" t="s">
        <v>181</v>
      </c>
    </row>
  </sheetData>
  <mergeCells count="1">
    <mergeCell ref="H2:P2"/>
  </mergeCells>
  <pageMargins left="0.7" right="0.7" top="0.75" bottom="0.75" header="0.3" footer="0.3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515209-13FA-4A88-BC99-18AB6816FF71}">
  <ds:schemaRefs>
    <ds:schemaRef ds:uri="http://schemas.microsoft.com/office/2006/documentManagement/types"/>
    <ds:schemaRef ds:uri="23b3a2bc-ed51-412b-a4e7-025eac3b528f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97b7848b-3014-43b3-9f79-4486e259eb2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FD2EB95-286A-4547-8B57-048D5244A595}"/>
</file>

<file path=customXml/itemProps3.xml><?xml version="1.0" encoding="utf-8"?>
<ds:datastoreItem xmlns:ds="http://schemas.openxmlformats.org/officeDocument/2006/customXml" ds:itemID="{27D2E08B-D0D2-4827-804A-795BD1E64C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Cover</vt:lpstr>
      <vt:lpstr>Assumptions</vt:lpstr>
      <vt:lpstr>1</vt:lpstr>
      <vt:lpstr>2</vt:lpstr>
      <vt:lpstr>3</vt:lpstr>
      <vt:lpstr>4</vt:lpstr>
      <vt:lpstr>5</vt:lpstr>
      <vt:lpstr>6</vt:lpstr>
      <vt:lpstr>7</vt:lpstr>
      <vt:lpstr>Charts</vt:lpstr>
      <vt:lpstr>Budget for 20xx+1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Assumptions!Print_Area</vt:lpstr>
      <vt:lpstr>Cover!Print_Area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Compliant Learning Resources</dc:creator>
  <cp:lastModifiedBy>Liz</cp:lastModifiedBy>
  <dcterms:created xsi:type="dcterms:W3CDTF">2018-01-05T06:03:00Z</dcterms:created>
  <dcterms:modified xsi:type="dcterms:W3CDTF">2022-08-06T01:14:17Z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