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orshy_fekete_up_education/Documents/Documents/CIV Accounting (Xero)/M12 - FNSACC412/AT2 - Project 1/Assessor Guides/"/>
    </mc:Choice>
  </mc:AlternateContent>
  <xr:revisionPtr revIDLastSave="138" documentId="8_{B94C3C79-0FA9-4CB8-905B-BAA233F7DD35}" xr6:coauthVersionLast="47" xr6:coauthVersionMax="47" xr10:uidLastSave="{7C386AEB-7DDF-4262-965A-E3284FD6951C}"/>
  <bookViews>
    <workbookView xWindow="-110" yWindow="-110" windowWidth="19420" windowHeight="10420" activeTab="2" xr2:uid="{00000000-000D-0000-FFFF-FFFF00000000}"/>
  </bookViews>
  <sheets>
    <sheet name="Tab 1" sheetId="2" r:id="rId1"/>
    <sheet name="Tab 2" sheetId="3" r:id="rId2"/>
    <sheet name="Tab 3" sheetId="4" r:id="rId3"/>
    <sheet name="Tab 4" sheetId="5" r:id="rId4"/>
  </sheets>
  <definedNames>
    <definedName name="OLE_LINK2" localSheetId="2">'Tab 3'!$C$35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E13" i="4"/>
  <c r="E10" i="4"/>
  <c r="E9" i="4"/>
  <c r="D17" i="4"/>
  <c r="E17" i="4" s="1"/>
  <c r="C14" i="4"/>
  <c r="E14" i="4" s="1"/>
  <c r="L39" i="4"/>
  <c r="K39" i="4"/>
  <c r="L31" i="4"/>
  <c r="L33" i="4" s="1"/>
  <c r="K31" i="4"/>
  <c r="K33" i="4" s="1"/>
  <c r="K25" i="4"/>
  <c r="J25" i="4"/>
  <c r="K20" i="4"/>
  <c r="J20" i="4"/>
  <c r="L20" i="4" s="1"/>
  <c r="M14" i="4"/>
  <c r="L14" i="4"/>
  <c r="K14" i="4"/>
  <c r="J14" i="4"/>
  <c r="M9" i="4"/>
  <c r="L9" i="4"/>
  <c r="K9" i="4"/>
  <c r="J9" i="4"/>
  <c r="B7" i="3"/>
  <c r="C7" i="3"/>
  <c r="B11" i="3"/>
  <c r="D10" i="3"/>
  <c r="D34" i="2"/>
  <c r="D40" i="2" s="1"/>
  <c r="C34" i="2"/>
  <c r="C40" i="2" s="1"/>
  <c r="D32" i="2"/>
  <c r="C32" i="2"/>
  <c r="E18" i="2"/>
  <c r="D20" i="2"/>
  <c r="D22" i="2" s="1"/>
  <c r="D24" i="2" s="1"/>
  <c r="D26" i="2" s="1"/>
  <c r="D39" i="2" s="1"/>
  <c r="C20" i="2"/>
  <c r="C22" i="2" s="1"/>
  <c r="C24" i="2" s="1"/>
  <c r="D14" i="2"/>
  <c r="D38" i="2" s="1"/>
  <c r="E14" i="2"/>
  <c r="C14" i="2"/>
  <c r="C38" i="2" s="1"/>
  <c r="E13" i="2"/>
  <c r="E12" i="2"/>
  <c r="D7" i="2"/>
  <c r="C6" i="3" s="1"/>
  <c r="C8" i="3" s="1"/>
  <c r="C7" i="2"/>
  <c r="B6" i="3" s="1"/>
  <c r="B8" i="3" s="1"/>
  <c r="C62" i="5"/>
  <c r="C60" i="5"/>
  <c r="C57" i="5"/>
  <c r="C58" i="5" s="1"/>
  <c r="C53" i="5"/>
  <c r="C54" i="5" s="1"/>
  <c r="C46" i="5"/>
  <c r="C47" i="5" s="1"/>
  <c r="C42" i="5"/>
  <c r="C43" i="5" s="1"/>
  <c r="C36" i="5"/>
  <c r="C34" i="5"/>
  <c r="C30" i="5"/>
  <c r="C29" i="5"/>
  <c r="C24" i="5"/>
  <c r="C22" i="5"/>
  <c r="C18" i="5"/>
  <c r="C17" i="5"/>
  <c r="C10" i="5"/>
  <c r="C9" i="5"/>
  <c r="C6" i="5"/>
  <c r="C5" i="5"/>
  <c r="E19" i="4"/>
  <c r="D9" i="3"/>
  <c r="C11" i="3"/>
  <c r="E30" i="2"/>
  <c r="E23" i="2"/>
  <c r="E21" i="2"/>
  <c r="E11" i="2"/>
  <c r="D7" i="3" l="1"/>
  <c r="D41" i="2"/>
  <c r="D42" i="2" s="1"/>
  <c r="E40" i="2"/>
  <c r="E38" i="2"/>
  <c r="E24" i="2"/>
  <c r="C26" i="2"/>
  <c r="E20" i="2"/>
  <c r="N14" i="4"/>
  <c r="D8" i="4" s="1"/>
  <c r="D11" i="4" s="1"/>
  <c r="D18" i="4"/>
  <c r="C12" i="3"/>
  <c r="B12" i="3"/>
  <c r="C7" i="5"/>
  <c r="C31" i="5"/>
  <c r="C19" i="5"/>
  <c r="L25" i="4"/>
  <c r="N9" i="4"/>
  <c r="C8" i="4" s="1"/>
  <c r="D6" i="3"/>
  <c r="E32" i="2"/>
  <c r="E34" i="2"/>
  <c r="D11" i="3"/>
  <c r="C11" i="5"/>
  <c r="C12" i="5" s="1"/>
  <c r="C39" i="2" l="1"/>
  <c r="E26" i="2"/>
  <c r="C11" i="4"/>
  <c r="E8" i="4"/>
  <c r="C18" i="4"/>
  <c r="E11" i="4"/>
  <c r="D8" i="3"/>
  <c r="D12" i="3" s="1"/>
  <c r="E22" i="2"/>
  <c r="E39" i="2" l="1"/>
  <c r="C41" i="2"/>
  <c r="C20" i="4"/>
  <c r="D19" i="4" s="1"/>
  <c r="D20" i="4" s="1"/>
  <c r="E20" i="4" s="1"/>
  <c r="E18" i="4"/>
  <c r="E41" i="2" l="1"/>
  <c r="C42" i="2"/>
  <c r="E42" i="2" s="1"/>
</calcChain>
</file>

<file path=xl/sharedStrings.xml><?xml version="1.0" encoding="utf-8"?>
<sst xmlns="http://schemas.openxmlformats.org/spreadsheetml/2006/main" count="253" uniqueCount="156">
  <si>
    <t>Budgets for Elite Manufacturing</t>
  </si>
  <si>
    <t>Sales Budget</t>
  </si>
  <si>
    <t>Product</t>
  </si>
  <si>
    <t>A</t>
  </si>
  <si>
    <t>B</t>
  </si>
  <si>
    <t>Budgeted sales units</t>
  </si>
  <si>
    <t>Budgeted price per unit</t>
  </si>
  <si>
    <t>Budgeted Sales</t>
  </si>
  <si>
    <t>Production Budget</t>
  </si>
  <si>
    <t>Total</t>
  </si>
  <si>
    <t>Forecasted sales units</t>
  </si>
  <si>
    <t>Ending inventory</t>
  </si>
  <si>
    <t>Beginning finished goods</t>
  </si>
  <si>
    <t>Production required</t>
  </si>
  <si>
    <t>Direct Materials Budget</t>
  </si>
  <si>
    <t>Production units required</t>
  </si>
  <si>
    <t>Materials per unit (kg)</t>
  </si>
  <si>
    <t>Kg of materials required</t>
  </si>
  <si>
    <t>Desired ending materials (kg)</t>
  </si>
  <si>
    <t>Kilograms needed</t>
  </si>
  <si>
    <t>Beginning materials (kg)</t>
  </si>
  <si>
    <t>Purchased required (kg)</t>
  </si>
  <si>
    <t>Cost per kg</t>
  </si>
  <si>
    <t>Cost of purchases</t>
  </si>
  <si>
    <t>Direct Labour Budget</t>
  </si>
  <si>
    <t>Direct labour hours per unit</t>
  </si>
  <si>
    <t>Total hours required</t>
  </si>
  <si>
    <t>Labour rate per hour</t>
  </si>
  <si>
    <t>Total labour cost</t>
  </si>
  <si>
    <t>Factory Overhead Budget</t>
  </si>
  <si>
    <t>Total cost of production = Production required x Cost of production per unit</t>
  </si>
  <si>
    <t>Production required x Cost of production per unit (A = 606,000 x $15.00) (B = 181,000 x $25.80)</t>
  </si>
  <si>
    <t>Raw materials cost = Cost of purchase</t>
  </si>
  <si>
    <t>Direct labour costs</t>
  </si>
  <si>
    <t>Total prime costs (Direct labour costs + Raw materials cost)</t>
  </si>
  <si>
    <t>Factory overhead = Total cost of production - Total prime cost</t>
  </si>
  <si>
    <t xml:space="preserve">Budgeted Statement of Financial Performance </t>
  </si>
  <si>
    <t>for Elite Manufacturing</t>
  </si>
  <si>
    <t>for the year ended 30 June 2023</t>
  </si>
  <si>
    <t>Sales revenue</t>
  </si>
  <si>
    <t>Gross Profit</t>
  </si>
  <si>
    <t>Selling and distribution expenses</t>
  </si>
  <si>
    <t>Total budget expenses</t>
  </si>
  <si>
    <t>Net Profit</t>
  </si>
  <si>
    <t>Budgeted Statement of Cash Flows</t>
  </si>
  <si>
    <t>for Q1 and Q2 2023</t>
  </si>
  <si>
    <t>WORKINGS</t>
  </si>
  <si>
    <t>Receipts from Customers</t>
  </si>
  <si>
    <t>Q2 2022</t>
  </si>
  <si>
    <t>Q3 2022</t>
  </si>
  <si>
    <t>Q4 2022</t>
  </si>
  <si>
    <t>Q1 2023</t>
  </si>
  <si>
    <t>Total Q1 2023</t>
  </si>
  <si>
    <t xml:space="preserve">Receipts from customers </t>
  </si>
  <si>
    <t>Payments to suppliers and employees</t>
  </si>
  <si>
    <t>Interest paid</t>
  </si>
  <si>
    <t>Net cash from operating activities:</t>
  </si>
  <si>
    <t>Q2 2023</t>
  </si>
  <si>
    <t>Total Q2 2023</t>
  </si>
  <si>
    <t>Purchase of equipment</t>
  </si>
  <si>
    <t>Net cash from investing activities</t>
  </si>
  <si>
    <t>Repayment of borrowings</t>
  </si>
  <si>
    <t>Staff Payments</t>
  </si>
  <si>
    <t>Net cash from financing activities</t>
  </si>
  <si>
    <t>Net increase/[decrease] in cash held</t>
  </si>
  <si>
    <t>Cash at the beginning of the quarter</t>
  </si>
  <si>
    <t>Cash at the end of the quarter</t>
  </si>
  <si>
    <t>Advertising and promotion expenses</t>
  </si>
  <si>
    <t>Revenue</t>
  </si>
  <si>
    <t>%</t>
  </si>
  <si>
    <t>% revenue</t>
  </si>
  <si>
    <t>per Qtr</t>
  </si>
  <si>
    <t>less Dep</t>
  </si>
  <si>
    <t>Budgeted Statement</t>
  </si>
  <si>
    <t>a) Sales Variance</t>
  </si>
  <si>
    <t>Sales price variance = (Actual selling price - Budgeted selling price) x Actual units sold</t>
  </si>
  <si>
    <t>Workings for Assessor</t>
  </si>
  <si>
    <t>Product A</t>
  </si>
  <si>
    <t>Favourable</t>
  </si>
  <si>
    <t>($6.20 - $6.00 x 8,000]</t>
  </si>
  <si>
    <t>Product B</t>
  </si>
  <si>
    <t>Unfavourable</t>
  </si>
  <si>
    <t>($7.70 - $8.00 x 33,000]</t>
  </si>
  <si>
    <t>Sales price variance</t>
  </si>
  <si>
    <t>Sales volume variance = (Actual quantity - Budgeted quantity) x Budgeted selling price</t>
  </si>
  <si>
    <t>(8,000 vs 10,000 x $6.00)</t>
  </si>
  <si>
    <t>(33,000 vs 30,000 x $8.00)</t>
  </si>
  <si>
    <t>Sales volume variance</t>
  </si>
  <si>
    <t>b) Materials Variance</t>
  </si>
  <si>
    <t>Total materials variance</t>
  </si>
  <si>
    <t>Standard quantity x Standard price</t>
  </si>
  <si>
    <t>(24,000 x $5)</t>
  </si>
  <si>
    <t>Actual quantity x Actual price</t>
  </si>
  <si>
    <t>(16,000 x $7)</t>
  </si>
  <si>
    <t>Material price variance</t>
  </si>
  <si>
    <t>($7 - $5)</t>
  </si>
  <si>
    <t>(Standard price - Actual price) x Actual quantity</t>
  </si>
  <si>
    <t>(($5 - $7) x 16,000)</t>
  </si>
  <si>
    <t>(Standard quantity - Actual quantity) x Standard price</t>
  </si>
  <si>
    <t>((24,000 - 16,000) x $5)</t>
  </si>
  <si>
    <t>c)  Labour  Variance</t>
  </si>
  <si>
    <t>Total labour variance</t>
  </si>
  <si>
    <t xml:space="preserve">Standard quantity x Standard price </t>
  </si>
  <si>
    <t>(28,000 x $9)</t>
  </si>
  <si>
    <t>(42,000 x $8)</t>
  </si>
  <si>
    <t>($9 - $8)</t>
  </si>
  <si>
    <t>(($9 - $8) X 42,000)</t>
  </si>
  <si>
    <t xml:space="preserve">(Standard quantity - Actual quantity) x Standard price </t>
  </si>
  <si>
    <t>((28,000 - 42,000) x $9)</t>
  </si>
  <si>
    <t>d) Variable Overheads Variance</t>
  </si>
  <si>
    <t>Variable overheads price variance</t>
  </si>
  <si>
    <t>Actual variable overhead</t>
  </si>
  <si>
    <t xml:space="preserve">Budgeted adjusted actual hours </t>
  </si>
  <si>
    <t>(2,500 x $4)</t>
  </si>
  <si>
    <t>Price variance</t>
  </si>
  <si>
    <t>Variable overheads efficiency variance</t>
  </si>
  <si>
    <t>Budgeted adjusted actual hours</t>
  </si>
  <si>
    <t xml:space="preserve">Budgeted adjusted to standard hours </t>
  </si>
  <si>
    <t>(3,000 x $4)</t>
  </si>
  <si>
    <t>Efficiency variance</t>
  </si>
  <si>
    <t>e) Fixed Overheads  Variance</t>
  </si>
  <si>
    <t>Fixed overhead budget variance</t>
  </si>
  <si>
    <t>Actual fixed overhead</t>
  </si>
  <si>
    <t xml:space="preserve">Budgeted fixed overhead </t>
  </si>
  <si>
    <t>((10,000 x 2) x $20)</t>
  </si>
  <si>
    <t>Budget variance</t>
  </si>
  <si>
    <t>Volume variance</t>
  </si>
  <si>
    <t>Budgeted fixed overhead</t>
  </si>
  <si>
    <t xml:space="preserve">Standard fixed overhead </t>
  </si>
  <si>
    <t>((9,500 x 2) x $20)</t>
  </si>
  <si>
    <t>(Standard hours vs Actual hours) x Standard fixed overhead rate</t>
  </si>
  <si>
    <t>((9,500 x 2) - (10,100 x 2) X $20)</t>
  </si>
  <si>
    <t>(Actual hours - Budgeted hours) x Standard fixed overhead rate</t>
  </si>
  <si>
    <t>((10,100 x 2) - (10,000 x 2) X $20)</t>
  </si>
  <si>
    <t>TOTAL SALES VARIANCE (Price variance + Volume variance)</t>
  </si>
  <si>
    <t>N/A</t>
  </si>
  <si>
    <t>Total Variance</t>
  </si>
  <si>
    <t>Material price per unit variance</t>
  </si>
  <si>
    <t>Material volume variance</t>
  </si>
  <si>
    <t>Labour price per unit variance</t>
  </si>
  <si>
    <t xml:space="preserve">Labour Spending (price) variance </t>
  </si>
  <si>
    <t>Labour volume variance</t>
  </si>
  <si>
    <t xml:space="preserve">Notes to Assessors </t>
  </si>
  <si>
    <t>Ignore + or - signs</t>
  </si>
  <si>
    <t>Less Cost of Goods Sold</t>
  </si>
  <si>
    <t>Q1</t>
  </si>
  <si>
    <t>Q2</t>
  </si>
  <si>
    <t>Fixed overhead efficiency variance at actual to budget capacity</t>
  </si>
  <si>
    <t>Fixed overhead efficiency variance at actual to standard capacity</t>
  </si>
  <si>
    <t>Favourable / Unfavourable</t>
  </si>
  <si>
    <t>ASSESSOR GUIDE</t>
  </si>
  <si>
    <t>Administrative expenses</t>
  </si>
  <si>
    <t>Administration expenses</t>
  </si>
  <si>
    <t>Cash flow from operating activities:</t>
  </si>
  <si>
    <t>Cash flow from investing activities:</t>
  </si>
  <si>
    <t>Cash flow from financing activities: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</si>
</sst>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#,##0;[Red]\(#,##0\)"/>
    <numFmt numFmtId="167" formatCode="&quot;$&quot;#,##0.00"/>
  </numFmts>
  <fonts count="24" x14ac:knownFonts="1">
    <font>
      <sz val="12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Microsoft Sans Serif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sz val="11"/>
      <color rgb="FFFD000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u/>
      <sz val="11"/>
      <color rgb="FFFF000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u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5" fillId="2" borderId="3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7" xfId="0" applyFont="1" applyFill="1" applyBorder="1"/>
    <xf numFmtId="164" fontId="6" fillId="2" borderId="7" xfId="2" applyNumberFormat="1" applyFont="1" applyFill="1" applyBorder="1"/>
    <xf numFmtId="165" fontId="6" fillId="0" borderId="5" xfId="1" applyNumberFormat="1" applyFont="1" applyBorder="1"/>
    <xf numFmtId="165" fontId="6" fillId="0" borderId="6" xfId="1" applyNumberFormat="1" applyFont="1" applyBorder="1"/>
    <xf numFmtId="165" fontId="6" fillId="0" borderId="6" xfId="0" applyNumberFormat="1" applyFont="1" applyBorder="1"/>
    <xf numFmtId="165" fontId="6" fillId="0" borderId="10" xfId="0" applyNumberFormat="1" applyFont="1" applyBorder="1"/>
    <xf numFmtId="165" fontId="6" fillId="0" borderId="9" xfId="0" applyNumberFormat="1" applyFont="1" applyBorder="1"/>
    <xf numFmtId="165" fontId="6" fillId="0" borderId="10" xfId="1" applyNumberFormat="1" applyFont="1" applyBorder="1"/>
    <xf numFmtId="165" fontId="6" fillId="0" borderId="13" xfId="1" applyNumberFormat="1" applyFont="1" applyBorder="1"/>
    <xf numFmtId="165" fontId="6" fillId="0" borderId="12" xfId="1" applyNumberFormat="1" applyFont="1" applyBorder="1"/>
    <xf numFmtId="164" fontId="6" fillId="2" borderId="11" xfId="2" applyNumberFormat="1" applyFont="1" applyFill="1" applyBorder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4" fontId="6" fillId="2" borderId="7" xfId="2" applyFont="1" applyFill="1" applyBorder="1"/>
    <xf numFmtId="0" fontId="3" fillId="2" borderId="2" xfId="0" applyFont="1" applyFill="1" applyBorder="1" applyAlignment="1">
      <alignment wrapText="1"/>
    </xf>
    <xf numFmtId="44" fontId="6" fillId="2" borderId="11" xfId="2" applyFont="1" applyFill="1" applyBorder="1"/>
    <xf numFmtId="0" fontId="3" fillId="0" borderId="14" xfId="0" applyFont="1" applyBorder="1"/>
    <xf numFmtId="44" fontId="0" fillId="0" borderId="0" xfId="0" applyNumberFormat="1"/>
    <xf numFmtId="165" fontId="0" fillId="0" borderId="0" xfId="0" applyNumberFormat="1"/>
    <xf numFmtId="0" fontId="12" fillId="3" borderId="14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44" fontId="6" fillId="0" borderId="15" xfId="2" applyFont="1" applyBorder="1"/>
    <xf numFmtId="0" fontId="3" fillId="0" borderId="16" xfId="0" applyFont="1" applyBorder="1" applyAlignment="1">
      <alignment wrapText="1"/>
    </xf>
    <xf numFmtId="0" fontId="3" fillId="0" borderId="16" xfId="0" applyFont="1" applyBorder="1"/>
    <xf numFmtId="44" fontId="6" fillId="0" borderId="0" xfId="0" applyNumberFormat="1" applyFont="1"/>
    <xf numFmtId="0" fontId="3" fillId="0" borderId="2" xfId="0" applyFont="1" applyBorder="1"/>
    <xf numFmtId="165" fontId="6" fillId="0" borderId="7" xfId="1" applyNumberFormat="1" applyFont="1" applyBorder="1"/>
    <xf numFmtId="165" fontId="6" fillId="0" borderId="18" xfId="1" applyNumberFormat="1" applyFont="1" applyBorder="1"/>
    <xf numFmtId="0" fontId="13" fillId="0" borderId="0" xfId="0" applyFont="1"/>
    <xf numFmtId="0" fontId="0" fillId="0" borderId="15" xfId="0" applyBorder="1"/>
    <xf numFmtId="0" fontId="6" fillId="0" borderId="15" xfId="0" applyFont="1" applyBorder="1"/>
    <xf numFmtId="9" fontId="6" fillId="0" borderId="15" xfId="0" applyNumberFormat="1" applyFont="1" applyBorder="1"/>
    <xf numFmtId="9" fontId="6" fillId="0" borderId="21" xfId="0" applyNumberFormat="1" applyFont="1" applyBorder="1"/>
    <xf numFmtId="0" fontId="2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7" fontId="6" fillId="0" borderId="15" xfId="0" applyNumberFormat="1" applyFont="1" applyBorder="1"/>
    <xf numFmtId="167" fontId="14" fillId="0" borderId="19" xfId="0" applyNumberFormat="1" applyFont="1" applyBorder="1"/>
    <xf numFmtId="167" fontId="6" fillId="0" borderId="20" xfId="0" applyNumberFormat="1" applyFont="1" applyBorder="1"/>
    <xf numFmtId="167" fontId="6" fillId="0" borderId="21" xfId="0" applyNumberFormat="1" applyFont="1" applyBorder="1"/>
    <xf numFmtId="167" fontId="14" fillId="0" borderId="22" xfId="0" applyNumberFormat="1" applyFont="1" applyBorder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vertical="center" wrapText="1"/>
    </xf>
    <xf numFmtId="0" fontId="17" fillId="0" borderId="0" xfId="0" applyFont="1"/>
    <xf numFmtId="0" fontId="17" fillId="0" borderId="23" xfId="0" applyFont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44" fontId="6" fillId="0" borderId="0" xfId="2" applyFont="1" applyFill="1" applyBorder="1"/>
    <xf numFmtId="167" fontId="16" fillId="0" borderId="15" xfId="1" applyNumberFormat="1" applyFont="1" applyBorder="1" applyAlignment="1">
      <alignment wrapText="1"/>
    </xf>
    <xf numFmtId="167" fontId="16" fillId="0" borderId="15" xfId="1" applyNumberFormat="1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167" fontId="16" fillId="0" borderId="15" xfId="0" applyNumberFormat="1" applyFont="1" applyBorder="1" applyAlignment="1">
      <alignment vertical="center" wrapText="1"/>
    </xf>
    <xf numFmtId="167" fontId="16" fillId="0" borderId="15" xfId="2" applyNumberFormat="1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167" fontId="16" fillId="0" borderId="21" xfId="0" applyNumberFormat="1" applyFont="1" applyBorder="1" applyAlignment="1">
      <alignment vertical="center" wrapText="1"/>
    </xf>
    <xf numFmtId="0" fontId="19" fillId="0" borderId="0" xfId="0" applyFont="1"/>
    <xf numFmtId="0" fontId="1" fillId="0" borderId="1" xfId="0" applyFont="1" applyBorder="1"/>
    <xf numFmtId="0" fontId="17" fillId="2" borderId="24" xfId="0" applyFont="1" applyFill="1" applyBorder="1" applyAlignment="1">
      <alignment vertical="center" wrapText="1"/>
    </xf>
    <xf numFmtId="167" fontId="16" fillId="0" borderId="21" xfId="1" applyNumberFormat="1" applyFont="1" applyFill="1" applyBorder="1" applyAlignment="1">
      <alignment wrapText="1"/>
    </xf>
    <xf numFmtId="0" fontId="20" fillId="2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165" fontId="16" fillId="0" borderId="17" xfId="1" applyNumberFormat="1" applyFont="1" applyBorder="1" applyAlignment="1">
      <alignment horizontal="left" wrapText="1"/>
    </xf>
    <xf numFmtId="165" fontId="16" fillId="0" borderId="18" xfId="1" applyNumberFormat="1" applyFont="1" applyFill="1" applyBorder="1" applyAlignment="1">
      <alignment horizontal="left" wrapText="1"/>
    </xf>
    <xf numFmtId="166" fontId="21" fillId="0" borderId="17" xfId="0" applyNumberFormat="1" applyFont="1" applyBorder="1" applyAlignment="1">
      <alignment horizontal="center" vertical="center" wrapText="1"/>
    </xf>
    <xf numFmtId="44" fontId="21" fillId="0" borderId="17" xfId="2" applyFont="1" applyBorder="1" applyAlignment="1">
      <alignment horizontal="center" vertical="center" wrapText="1"/>
    </xf>
    <xf numFmtId="165" fontId="16" fillId="0" borderId="18" xfId="1" applyNumberFormat="1" applyFont="1" applyBorder="1" applyAlignment="1">
      <alignment horizontal="left" wrapText="1"/>
    </xf>
    <xf numFmtId="0" fontId="12" fillId="3" borderId="15" xfId="0" applyFont="1" applyFill="1" applyBorder="1"/>
    <xf numFmtId="0" fontId="12" fillId="3" borderId="15" xfId="0" applyFont="1" applyFill="1" applyBorder="1" applyAlignment="1">
      <alignment horizontal="center"/>
    </xf>
    <xf numFmtId="0" fontId="3" fillId="0" borderId="15" xfId="0" applyFont="1" applyBorder="1"/>
    <xf numFmtId="0" fontId="3" fillId="2" borderId="15" xfId="0" applyFont="1" applyFill="1" applyBorder="1"/>
    <xf numFmtId="44" fontId="6" fillId="2" borderId="15" xfId="2" applyFont="1" applyFill="1" applyBorder="1"/>
    <xf numFmtId="165" fontId="6" fillId="0" borderId="15" xfId="1" applyNumberFormat="1" applyFont="1" applyBorder="1" applyAlignment="1">
      <alignment horizontal="right"/>
    </xf>
    <xf numFmtId="165" fontId="6" fillId="0" borderId="15" xfId="0" applyNumberFormat="1" applyFont="1" applyBorder="1" applyAlignment="1">
      <alignment horizontal="right"/>
    </xf>
    <xf numFmtId="165" fontId="6" fillId="2" borderId="15" xfId="0" applyNumberFormat="1" applyFont="1" applyFill="1" applyBorder="1" applyAlignment="1">
      <alignment horizontal="right"/>
    </xf>
    <xf numFmtId="165" fontId="6" fillId="0" borderId="15" xfId="1" applyNumberFormat="1" applyFont="1" applyBorder="1"/>
    <xf numFmtId="165" fontId="6" fillId="0" borderId="15" xfId="0" applyNumberFormat="1" applyFont="1" applyBorder="1"/>
    <xf numFmtId="0" fontId="22" fillId="0" borderId="15" xfId="0" applyFont="1" applyBorder="1" applyAlignment="1">
      <alignment horizontal="center"/>
    </xf>
    <xf numFmtId="0" fontId="0" fillId="2" borderId="14" xfId="0" applyFill="1" applyBorder="1"/>
    <xf numFmtId="167" fontId="6" fillId="0" borderId="15" xfId="1" applyNumberFormat="1" applyFont="1" applyBorder="1" applyAlignment="1">
      <alignment horizontal="right"/>
    </xf>
    <xf numFmtId="0" fontId="3" fillId="4" borderId="15" xfId="0" applyFont="1" applyFill="1" applyBorder="1"/>
    <xf numFmtId="167" fontId="6" fillId="4" borderId="15" xfId="1" applyNumberFormat="1" applyFont="1" applyFill="1" applyBorder="1" applyAlignment="1">
      <alignment horizontal="right"/>
    </xf>
    <xf numFmtId="0" fontId="0" fillId="4" borderId="15" xfId="0" applyFill="1" applyBorder="1"/>
    <xf numFmtId="0" fontId="0" fillId="2" borderId="15" xfId="0" applyFill="1" applyBorder="1"/>
    <xf numFmtId="167" fontId="6" fillId="2" borderId="15" xfId="1" applyNumberFormat="1" applyFont="1" applyFill="1" applyBorder="1" applyAlignment="1">
      <alignment horizontal="right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3" fillId="0" borderId="15" xfId="0" applyFont="1" applyBorder="1"/>
    <xf numFmtId="0" fontId="6" fillId="5" borderId="15" xfId="0" applyFont="1" applyFill="1" applyBorder="1"/>
    <xf numFmtId="0" fontId="0" fillId="5" borderId="15" xfId="0" applyFill="1" applyBorder="1"/>
    <xf numFmtId="167" fontId="6" fillId="5" borderId="15" xfId="1" applyNumberFormat="1" applyFont="1" applyFill="1" applyBorder="1" applyAlignment="1">
      <alignment horizontal="right"/>
    </xf>
    <xf numFmtId="0" fontId="5" fillId="6" borderId="15" xfId="0" applyFont="1" applyFill="1" applyBorder="1" applyAlignment="1">
      <alignment horizontal="center"/>
    </xf>
    <xf numFmtId="0" fontId="6" fillId="7" borderId="15" xfId="0" applyFont="1" applyFill="1" applyBorder="1"/>
    <xf numFmtId="0" fontId="0" fillId="7" borderId="15" xfId="0" applyFill="1" applyBorder="1"/>
    <xf numFmtId="167" fontId="6" fillId="7" borderId="15" xfId="0" applyNumberFormat="1" applyFont="1" applyFill="1" applyBorder="1"/>
    <xf numFmtId="3" fontId="6" fillId="0" borderId="15" xfId="0" applyNumberFormat="1" applyFont="1" applyBorder="1"/>
    <xf numFmtId="44" fontId="6" fillId="0" borderId="15" xfId="2" applyFont="1" applyBorder="1" applyAlignment="1">
      <alignment vertical="center"/>
    </xf>
    <xf numFmtId="44" fontId="6" fillId="0" borderId="17" xfId="2" applyFont="1" applyBorder="1" applyAlignment="1">
      <alignment vertical="center"/>
    </xf>
    <xf numFmtId="44" fontId="6" fillId="0" borderId="15" xfId="2" applyFont="1" applyFill="1" applyBorder="1" applyAlignment="1">
      <alignment vertical="center"/>
    </xf>
    <xf numFmtId="166" fontId="16" fillId="8" borderId="17" xfId="1" applyNumberFormat="1" applyFont="1" applyFill="1" applyBorder="1" applyAlignment="1">
      <alignment horizontal="left" vertical="center" wrapText="1"/>
    </xf>
    <xf numFmtId="165" fontId="16" fillId="8" borderId="17" xfId="1" applyNumberFormat="1" applyFont="1" applyFill="1" applyBorder="1" applyAlignment="1">
      <alignment horizontal="left" wrapText="1"/>
    </xf>
    <xf numFmtId="166" fontId="16" fillId="8" borderId="18" xfId="1" applyNumberFormat="1" applyFont="1" applyFill="1" applyBorder="1" applyAlignment="1">
      <alignment horizontal="left" vertical="center" wrapText="1"/>
    </xf>
    <xf numFmtId="165" fontId="16" fillId="8" borderId="18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5" fillId="2" borderId="25" xfId="0" applyFont="1" applyFill="1" applyBorder="1" applyAlignment="1">
      <alignment vertical="center" wrapText="1"/>
    </xf>
    <xf numFmtId="0" fontId="15" fillId="2" borderId="26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17" fillId="2" borderId="26" xfId="0" applyFont="1" applyFill="1" applyBorder="1" applyAlignment="1">
      <alignment vertical="center" wrapText="1"/>
    </xf>
    <xf numFmtId="0" fontId="17" fillId="2" borderId="16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C01C-B16B-45AE-BDC2-40047550D74F}">
  <dimension ref="B1:M42"/>
  <sheetViews>
    <sheetView showGridLines="0" topLeftCell="A23" workbookViewId="0">
      <selection activeCell="C34" sqref="C34"/>
    </sheetView>
  </sheetViews>
  <sheetFormatPr defaultRowHeight="18" customHeight="1" x14ac:dyDescent="0.35"/>
  <cols>
    <col min="2" max="2" width="26.25" customWidth="1"/>
    <col min="3" max="3" width="15.83203125" customWidth="1"/>
    <col min="4" max="4" width="13.75" bestFit="1" customWidth="1"/>
    <col min="5" max="5" width="14.75" bestFit="1" customWidth="1"/>
    <col min="7" max="7" width="13.75" bestFit="1" customWidth="1"/>
    <col min="8" max="8" width="14.75" bestFit="1" customWidth="1"/>
    <col min="9" max="9" width="13.75" bestFit="1" customWidth="1"/>
  </cols>
  <sheetData>
    <row r="1" spans="2:9" ht="26" customHeight="1" x14ac:dyDescent="0.35">
      <c r="B1" s="117" t="s">
        <v>0</v>
      </c>
      <c r="C1" s="118"/>
      <c r="D1" s="118"/>
    </row>
    <row r="2" spans="2:9" ht="18" customHeight="1" x14ac:dyDescent="0.35">
      <c r="B2" s="119" t="s">
        <v>150</v>
      </c>
      <c r="C2" s="119"/>
    </row>
    <row r="3" spans="2:9" ht="18" customHeight="1" x14ac:dyDescent="0.35">
      <c r="B3" s="2" t="s">
        <v>1</v>
      </c>
    </row>
    <row r="4" spans="2:9" ht="18" customHeight="1" x14ac:dyDescent="0.35">
      <c r="B4" s="81" t="s">
        <v>2</v>
      </c>
      <c r="C4" s="82" t="s">
        <v>3</v>
      </c>
      <c r="D4" s="82" t="s">
        <v>4</v>
      </c>
      <c r="G4" s="57"/>
      <c r="H4" s="58"/>
      <c r="I4" s="58"/>
    </row>
    <row r="5" spans="2:9" ht="18" customHeight="1" x14ac:dyDescent="0.35">
      <c r="B5" s="83" t="s">
        <v>5</v>
      </c>
      <c r="C5" s="109">
        <v>600000</v>
      </c>
      <c r="D5" s="109">
        <v>175000</v>
      </c>
      <c r="G5" s="1"/>
      <c r="H5" s="18"/>
      <c r="I5" s="18"/>
    </row>
    <row r="6" spans="2:9" ht="18" customHeight="1" x14ac:dyDescent="0.35">
      <c r="B6" s="83" t="s">
        <v>6</v>
      </c>
      <c r="C6" s="31">
        <v>27</v>
      </c>
      <c r="D6" s="31">
        <v>42</v>
      </c>
      <c r="G6" s="1"/>
      <c r="H6" s="59"/>
      <c r="I6" s="59"/>
    </row>
    <row r="7" spans="2:9" ht="18" customHeight="1" x14ac:dyDescent="0.35">
      <c r="B7" s="84" t="s">
        <v>7</v>
      </c>
      <c r="C7" s="85">
        <f>C5*C6</f>
        <v>16200000</v>
      </c>
      <c r="D7" s="85">
        <f>D6*D5</f>
        <v>7350000</v>
      </c>
      <c r="G7" s="1"/>
      <c r="H7" s="59"/>
      <c r="I7" s="59"/>
    </row>
    <row r="9" spans="2:9" ht="18" customHeight="1" thickBot="1" x14ac:dyDescent="0.4">
      <c r="B9" s="2" t="s">
        <v>8</v>
      </c>
    </row>
    <row r="10" spans="2:9" ht="18" customHeight="1" x14ac:dyDescent="0.35">
      <c r="B10" s="28" t="s">
        <v>2</v>
      </c>
      <c r="C10" s="29" t="s">
        <v>3</v>
      </c>
      <c r="D10" s="29" t="s">
        <v>4</v>
      </c>
      <c r="E10" s="30" t="s">
        <v>9</v>
      </c>
    </row>
    <row r="11" spans="2:9" ht="18" customHeight="1" x14ac:dyDescent="0.35">
      <c r="B11" s="83" t="s">
        <v>10</v>
      </c>
      <c r="C11" s="86">
        <v>600000</v>
      </c>
      <c r="D11" s="86">
        <v>175000</v>
      </c>
      <c r="E11" s="86">
        <f>SUM(C11:D11)</f>
        <v>775000</v>
      </c>
    </row>
    <row r="12" spans="2:9" ht="18" customHeight="1" x14ac:dyDescent="0.35">
      <c r="B12" s="83" t="s">
        <v>11</v>
      </c>
      <c r="C12" s="86">
        <v>32400</v>
      </c>
      <c r="D12" s="86">
        <v>20400</v>
      </c>
      <c r="E12" s="87">
        <f>SUM(C12:D12)</f>
        <v>52800</v>
      </c>
    </row>
    <row r="13" spans="2:9" ht="18" customHeight="1" x14ac:dyDescent="0.35">
      <c r="B13" s="83" t="s">
        <v>12</v>
      </c>
      <c r="C13" s="86">
        <v>26400</v>
      </c>
      <c r="D13" s="86">
        <v>14400</v>
      </c>
      <c r="E13" s="87">
        <f>SUM(C13:D13)</f>
        <v>40800</v>
      </c>
    </row>
    <row r="14" spans="2:9" ht="18" customHeight="1" x14ac:dyDescent="0.35">
      <c r="B14" s="84" t="s">
        <v>13</v>
      </c>
      <c r="C14" s="88">
        <f>C11+C12-C13</f>
        <v>606000</v>
      </c>
      <c r="D14" s="88">
        <f t="shared" ref="D14:E14" si="0">D11+D12-D13</f>
        <v>181000</v>
      </c>
      <c r="E14" s="88">
        <f t="shared" si="0"/>
        <v>787000</v>
      </c>
    </row>
    <row r="16" spans="2:9" ht="18" customHeight="1" x14ac:dyDescent="0.35">
      <c r="B16" s="2" t="s">
        <v>14</v>
      </c>
    </row>
    <row r="17" spans="2:8" ht="18" customHeight="1" x14ac:dyDescent="0.35">
      <c r="B17" s="81" t="s">
        <v>2</v>
      </c>
      <c r="C17" s="82" t="s">
        <v>3</v>
      </c>
      <c r="D17" s="82" t="s">
        <v>4</v>
      </c>
      <c r="E17" s="82" t="s">
        <v>9</v>
      </c>
    </row>
    <row r="18" spans="2:8" ht="18" customHeight="1" x14ac:dyDescent="0.35">
      <c r="B18" s="83" t="s">
        <v>15</v>
      </c>
      <c r="C18" s="89">
        <v>606000</v>
      </c>
      <c r="D18" s="89">
        <v>181000</v>
      </c>
      <c r="E18" s="90">
        <f>SUM(C18:D18)</f>
        <v>787000</v>
      </c>
      <c r="H18" s="27"/>
    </row>
    <row r="19" spans="2:8" ht="18" customHeight="1" x14ac:dyDescent="0.35">
      <c r="B19" s="83" t="s">
        <v>16</v>
      </c>
      <c r="C19" s="40">
        <v>1.2</v>
      </c>
      <c r="D19" s="40">
        <v>1.8</v>
      </c>
      <c r="E19" s="91" t="s">
        <v>135</v>
      </c>
    </row>
    <row r="20" spans="2:8" ht="18" customHeight="1" x14ac:dyDescent="0.35">
      <c r="B20" s="83" t="s">
        <v>17</v>
      </c>
      <c r="C20" s="89">
        <f>C18*C19</f>
        <v>727200</v>
      </c>
      <c r="D20" s="89">
        <f>D18*D19</f>
        <v>325800</v>
      </c>
      <c r="E20" s="89">
        <f>SUM(C20:D20)</f>
        <v>1053000</v>
      </c>
      <c r="H20" s="26"/>
    </row>
    <row r="21" spans="2:8" ht="18" customHeight="1" x14ac:dyDescent="0.35">
      <c r="B21" s="83" t="s">
        <v>18</v>
      </c>
      <c r="C21" s="89">
        <v>42000</v>
      </c>
      <c r="D21" s="89">
        <v>18000</v>
      </c>
      <c r="E21" s="89">
        <f>SUM(C21:D21)</f>
        <v>60000</v>
      </c>
    </row>
    <row r="22" spans="2:8" ht="18" customHeight="1" x14ac:dyDescent="0.35">
      <c r="B22" s="83" t="s">
        <v>19</v>
      </c>
      <c r="C22" s="89">
        <f>C20+C21</f>
        <v>769200</v>
      </c>
      <c r="D22" s="89">
        <f>D20+D21</f>
        <v>343800</v>
      </c>
      <c r="E22" s="89">
        <f>SUM(C22:D22)</f>
        <v>1113000</v>
      </c>
    </row>
    <row r="23" spans="2:8" ht="18" customHeight="1" x14ac:dyDescent="0.35">
      <c r="B23" s="83" t="s">
        <v>20</v>
      </c>
      <c r="C23" s="89">
        <v>54000</v>
      </c>
      <c r="D23" s="89">
        <v>14400</v>
      </c>
      <c r="E23" s="89">
        <f>SUM(C23:D23)</f>
        <v>68400</v>
      </c>
    </row>
    <row r="24" spans="2:8" ht="18" customHeight="1" x14ac:dyDescent="0.35">
      <c r="B24" s="83" t="s">
        <v>21</v>
      </c>
      <c r="C24" s="89">
        <f>C22-C23</f>
        <v>715200</v>
      </c>
      <c r="D24" s="89">
        <f>D22-D23</f>
        <v>329400</v>
      </c>
      <c r="E24" s="89">
        <f>SUM(C24:D24)</f>
        <v>1044600</v>
      </c>
    </row>
    <row r="25" spans="2:8" ht="18" customHeight="1" x14ac:dyDescent="0.35">
      <c r="B25" s="83" t="s">
        <v>22</v>
      </c>
      <c r="C25" s="31">
        <v>4.2</v>
      </c>
      <c r="D25" s="31">
        <v>5.4</v>
      </c>
      <c r="E25" s="91" t="s">
        <v>135</v>
      </c>
    </row>
    <row r="26" spans="2:8" ht="18" customHeight="1" x14ac:dyDescent="0.35">
      <c r="B26" s="84" t="s">
        <v>23</v>
      </c>
      <c r="C26" s="85">
        <f>C24*C25</f>
        <v>3003840</v>
      </c>
      <c r="D26" s="85">
        <f>D24*D25</f>
        <v>1778760.0000000002</v>
      </c>
      <c r="E26" s="85">
        <f>SUM(C26:D26)</f>
        <v>4782600</v>
      </c>
    </row>
    <row r="28" spans="2:8" ht="18" customHeight="1" x14ac:dyDescent="0.35">
      <c r="B28" s="2" t="s">
        <v>24</v>
      </c>
    </row>
    <row r="29" spans="2:8" ht="18" customHeight="1" x14ac:dyDescent="0.35">
      <c r="B29" s="81" t="s">
        <v>2</v>
      </c>
      <c r="C29" s="82" t="s">
        <v>3</v>
      </c>
      <c r="D29" s="82" t="s">
        <v>4</v>
      </c>
      <c r="E29" s="82" t="s">
        <v>9</v>
      </c>
    </row>
    <row r="30" spans="2:8" ht="18" customHeight="1" x14ac:dyDescent="0.35">
      <c r="B30" s="83" t="s">
        <v>15</v>
      </c>
      <c r="C30" s="89">
        <v>606000</v>
      </c>
      <c r="D30" s="89">
        <v>181000</v>
      </c>
      <c r="E30" s="90">
        <f>SUM(C30:D30)</f>
        <v>787000</v>
      </c>
    </row>
    <row r="31" spans="2:8" ht="18" customHeight="1" x14ac:dyDescent="0.35">
      <c r="B31" s="83" t="s">
        <v>25</v>
      </c>
      <c r="C31" s="40">
        <v>0.6</v>
      </c>
      <c r="D31" s="40">
        <v>0.9</v>
      </c>
      <c r="E31" s="91" t="s">
        <v>135</v>
      </c>
    </row>
    <row r="32" spans="2:8" ht="18" customHeight="1" x14ac:dyDescent="0.35">
      <c r="B32" s="83" t="s">
        <v>26</v>
      </c>
      <c r="C32" s="90">
        <f>C30*C31</f>
        <v>363600</v>
      </c>
      <c r="D32" s="90">
        <f>D30*D31</f>
        <v>162900</v>
      </c>
      <c r="E32" s="90">
        <f>SUM(C32:D32)</f>
        <v>526500</v>
      </c>
    </row>
    <row r="33" spans="2:13" ht="18" customHeight="1" x14ac:dyDescent="0.35">
      <c r="B33" s="83" t="s">
        <v>27</v>
      </c>
      <c r="C33" s="31">
        <v>12</v>
      </c>
      <c r="D33" s="31">
        <v>13.2</v>
      </c>
      <c r="E33" s="91" t="s">
        <v>135</v>
      </c>
    </row>
    <row r="34" spans="2:13" ht="18" customHeight="1" x14ac:dyDescent="0.35">
      <c r="B34" s="84" t="s">
        <v>28</v>
      </c>
      <c r="C34" s="85">
        <f>C32*C33</f>
        <v>4363200</v>
      </c>
      <c r="D34" s="85">
        <f>D32*D33</f>
        <v>2150280</v>
      </c>
      <c r="E34" s="85">
        <f>SUM(C34:D34)</f>
        <v>6513480</v>
      </c>
    </row>
    <row r="36" spans="2:13" ht="18" customHeight="1" thickBot="1" x14ac:dyDescent="0.4">
      <c r="B36" s="2" t="s">
        <v>29</v>
      </c>
    </row>
    <row r="37" spans="2:13" ht="18" customHeight="1" x14ac:dyDescent="0.35">
      <c r="B37" s="28" t="s">
        <v>2</v>
      </c>
      <c r="C37" s="29" t="s">
        <v>3</v>
      </c>
      <c r="D37" s="29" t="s">
        <v>4</v>
      </c>
      <c r="E37" s="30" t="s">
        <v>9</v>
      </c>
    </row>
    <row r="38" spans="2:13" ht="47.5" customHeight="1" x14ac:dyDescent="0.35">
      <c r="B38" s="32" t="s">
        <v>30</v>
      </c>
      <c r="C38" s="110">
        <f>C14*15</f>
        <v>9090000</v>
      </c>
      <c r="D38" s="110">
        <f>D14*25.8</f>
        <v>4669800</v>
      </c>
      <c r="E38" s="111">
        <f>D38+C38</f>
        <v>13759800</v>
      </c>
      <c r="F38" s="18" t="s">
        <v>31</v>
      </c>
      <c r="G38" s="34"/>
      <c r="H38" s="18"/>
      <c r="I38" s="18"/>
      <c r="J38" s="18"/>
      <c r="K38" s="18"/>
      <c r="L38" s="18"/>
      <c r="M38" s="18"/>
    </row>
    <row r="39" spans="2:13" ht="36" customHeight="1" x14ac:dyDescent="0.35">
      <c r="B39" s="32" t="s">
        <v>32</v>
      </c>
      <c r="C39" s="112">
        <f>C26</f>
        <v>3003840</v>
      </c>
      <c r="D39" s="110">
        <f>D26</f>
        <v>1778760.0000000002</v>
      </c>
      <c r="E39" s="111">
        <f>C39+D39</f>
        <v>4782600</v>
      </c>
      <c r="I39" s="26"/>
    </row>
    <row r="40" spans="2:13" ht="18" customHeight="1" x14ac:dyDescent="0.35">
      <c r="B40" s="33" t="s">
        <v>33</v>
      </c>
      <c r="C40" s="110">
        <f>C34</f>
        <v>4363200</v>
      </c>
      <c r="D40" s="110">
        <f>D34</f>
        <v>2150280</v>
      </c>
      <c r="E40" s="111">
        <f>C40+D40</f>
        <v>6513480</v>
      </c>
    </row>
    <row r="41" spans="2:13" ht="37.9" customHeight="1" x14ac:dyDescent="0.35">
      <c r="B41" s="32" t="s">
        <v>34</v>
      </c>
      <c r="C41" s="110">
        <f>C40+C39</f>
        <v>7367040</v>
      </c>
      <c r="D41" s="110">
        <f>D40+D39</f>
        <v>3929040</v>
      </c>
      <c r="E41" s="111">
        <f>C41+D41</f>
        <v>11296080</v>
      </c>
    </row>
    <row r="42" spans="2:13" ht="47" thickBot="1" x14ac:dyDescent="0.4">
      <c r="B42" s="23" t="s">
        <v>35</v>
      </c>
      <c r="C42" s="22">
        <f>C38-C41</f>
        <v>1722960</v>
      </c>
      <c r="D42" s="22">
        <f>D38-D41</f>
        <v>740760</v>
      </c>
      <c r="E42" s="24">
        <f>C42+D42</f>
        <v>2463720</v>
      </c>
    </row>
  </sheetData>
  <mergeCells count="2">
    <mergeCell ref="B1:D1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35D81-B953-4694-932A-4290E08BDDE5}">
  <dimension ref="A1:D12"/>
  <sheetViews>
    <sheetView workbookViewId="0">
      <selection activeCell="A10" sqref="A10"/>
    </sheetView>
  </sheetViews>
  <sheetFormatPr defaultRowHeight="15.5" x14ac:dyDescent="0.35"/>
  <cols>
    <col min="1" max="1" width="29" customWidth="1"/>
    <col min="2" max="2" width="13.75" bestFit="1" customWidth="1"/>
    <col min="3" max="4" width="18.33203125" bestFit="1" customWidth="1"/>
  </cols>
  <sheetData>
    <row r="1" spans="1:4" x14ac:dyDescent="0.35">
      <c r="A1" s="120" t="s">
        <v>36</v>
      </c>
      <c r="B1" s="120"/>
      <c r="C1" s="120"/>
      <c r="D1" s="120"/>
    </row>
    <row r="2" spans="1:4" x14ac:dyDescent="0.35">
      <c r="A2" s="120" t="s">
        <v>37</v>
      </c>
      <c r="B2" s="120"/>
      <c r="C2" s="120"/>
      <c r="D2" s="120"/>
    </row>
    <row r="3" spans="1:4" x14ac:dyDescent="0.35">
      <c r="A3" s="120" t="s">
        <v>38</v>
      </c>
      <c r="B3" s="120"/>
      <c r="C3" s="120"/>
      <c r="D3" s="120"/>
    </row>
    <row r="4" spans="1:4" ht="34.5" customHeight="1" thickBot="1" x14ac:dyDescent="0.4">
      <c r="A4" s="2"/>
      <c r="B4" s="121" t="s">
        <v>150</v>
      </c>
      <c r="C4" s="121"/>
    </row>
    <row r="5" spans="1:4" ht="16" thickBot="1" x14ac:dyDescent="0.4">
      <c r="A5" s="4" t="s">
        <v>2</v>
      </c>
      <c r="B5" s="5" t="s">
        <v>3</v>
      </c>
      <c r="C5" s="5" t="s">
        <v>4</v>
      </c>
      <c r="D5" s="6" t="s">
        <v>9</v>
      </c>
    </row>
    <row r="6" spans="1:4" x14ac:dyDescent="0.35">
      <c r="A6" s="25" t="s">
        <v>39</v>
      </c>
      <c r="B6" s="9">
        <f>'Tab 1'!C7</f>
        <v>16200000</v>
      </c>
      <c r="C6" s="9">
        <f>'Tab 1'!D7</f>
        <v>7350000</v>
      </c>
      <c r="D6" s="13">
        <f>SUM(B6:C6)</f>
        <v>23550000</v>
      </c>
    </row>
    <row r="7" spans="1:4" x14ac:dyDescent="0.35">
      <c r="A7" s="69" t="s">
        <v>144</v>
      </c>
      <c r="B7" s="10">
        <f>'Tab 1'!C11*15</f>
        <v>9000000</v>
      </c>
      <c r="C7" s="10">
        <f>'Tab 1'!D11*25.8</f>
        <v>4515000</v>
      </c>
      <c r="D7" s="12">
        <f>SUM(B7:C7)</f>
        <v>13515000</v>
      </c>
    </row>
    <row r="8" spans="1:4" x14ac:dyDescent="0.35">
      <c r="A8" s="3" t="s">
        <v>40</v>
      </c>
      <c r="B8" s="11">
        <f>B6-B7</f>
        <v>7200000</v>
      </c>
      <c r="C8" s="11">
        <f>C6-C7</f>
        <v>2835000</v>
      </c>
      <c r="D8" s="12">
        <f>SUM(B8:C8)</f>
        <v>10035000</v>
      </c>
    </row>
    <row r="9" spans="1:4" x14ac:dyDescent="0.35">
      <c r="A9" s="3" t="s">
        <v>41</v>
      </c>
      <c r="B9" s="10">
        <v>840000</v>
      </c>
      <c r="C9" s="10">
        <v>450000</v>
      </c>
      <c r="D9" s="14">
        <f>C9+B9</f>
        <v>1290000</v>
      </c>
    </row>
    <row r="10" spans="1:4" x14ac:dyDescent="0.35">
      <c r="A10" s="69" t="s">
        <v>152</v>
      </c>
      <c r="B10" s="15">
        <v>540000</v>
      </c>
      <c r="C10" s="15">
        <v>480000</v>
      </c>
      <c r="D10" s="16">
        <f>C10+B10</f>
        <v>1020000</v>
      </c>
    </row>
    <row r="11" spans="1:4" ht="16" thickBot="1" x14ac:dyDescent="0.4">
      <c r="A11" s="35" t="s">
        <v>42</v>
      </c>
      <c r="B11" s="36">
        <f>B10+B9</f>
        <v>1380000</v>
      </c>
      <c r="C11" s="36">
        <f>C10+C9</f>
        <v>930000</v>
      </c>
      <c r="D11" s="37">
        <f>D10+D9</f>
        <v>2310000</v>
      </c>
    </row>
    <row r="12" spans="1:4" ht="16" thickBot="1" x14ac:dyDescent="0.4">
      <c r="A12" s="7" t="s">
        <v>43</v>
      </c>
      <c r="B12" s="8">
        <f>B8-B11</f>
        <v>5820000</v>
      </c>
      <c r="C12" s="8">
        <f>C8-C11</f>
        <v>1905000</v>
      </c>
      <c r="D12" s="17">
        <f>D8-D11</f>
        <v>7725000</v>
      </c>
    </row>
  </sheetData>
  <mergeCells count="4">
    <mergeCell ref="A1:D1"/>
    <mergeCell ref="A2:D2"/>
    <mergeCell ref="A3:D3"/>
    <mergeCell ref="B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DA4A-2242-4DEE-94D0-E1D84431EF16}">
  <dimension ref="B2:O41"/>
  <sheetViews>
    <sheetView showGridLines="0" tabSelected="1" topLeftCell="B5" workbookViewId="0">
      <selection activeCell="G8" sqref="G8"/>
    </sheetView>
  </sheetViews>
  <sheetFormatPr defaultRowHeight="15.5" x14ac:dyDescent="0.35"/>
  <cols>
    <col min="2" max="2" width="32.75" customWidth="1"/>
    <col min="3" max="3" width="14.08203125" customWidth="1"/>
    <col min="4" max="4" width="12" customWidth="1"/>
    <col min="5" max="5" width="11.5" bestFit="1" customWidth="1"/>
    <col min="10" max="14" width="12.83203125" customWidth="1"/>
  </cols>
  <sheetData>
    <row r="2" spans="2:15" x14ac:dyDescent="0.35">
      <c r="B2" s="120" t="s">
        <v>44</v>
      </c>
      <c r="C2" s="120"/>
      <c r="D2" s="120"/>
      <c r="E2" s="120"/>
    </row>
    <row r="3" spans="2:15" x14ac:dyDescent="0.35">
      <c r="B3" s="120" t="s">
        <v>37</v>
      </c>
      <c r="C3" s="120"/>
      <c r="D3" s="120"/>
      <c r="E3" s="120"/>
    </row>
    <row r="4" spans="2:15" x14ac:dyDescent="0.35">
      <c r="B4" s="120" t="s">
        <v>45</v>
      </c>
      <c r="C4" s="120"/>
      <c r="D4" s="120"/>
      <c r="E4" s="120"/>
      <c r="J4" s="2" t="s">
        <v>46</v>
      </c>
      <c r="K4" s="2"/>
    </row>
    <row r="5" spans="2:15" ht="38" customHeight="1" thickBot="1" x14ac:dyDescent="0.4">
      <c r="B5" s="121" t="s">
        <v>150</v>
      </c>
      <c r="C5" s="121"/>
      <c r="D5" s="121"/>
      <c r="J5" s="2" t="s">
        <v>47</v>
      </c>
      <c r="K5" s="38"/>
      <c r="L5" s="2"/>
    </row>
    <row r="6" spans="2:15" x14ac:dyDescent="0.35">
      <c r="B6" s="92"/>
      <c r="C6" s="99" t="s">
        <v>145</v>
      </c>
      <c r="D6" s="99" t="s">
        <v>146</v>
      </c>
      <c r="E6" s="100" t="s">
        <v>9</v>
      </c>
      <c r="J6" s="105" t="s">
        <v>48</v>
      </c>
      <c r="K6" s="105" t="s">
        <v>49</v>
      </c>
      <c r="L6" s="105" t="s">
        <v>50</v>
      </c>
      <c r="M6" s="105" t="s">
        <v>51</v>
      </c>
      <c r="N6" s="105" t="s">
        <v>52</v>
      </c>
      <c r="O6" s="1"/>
    </row>
    <row r="7" spans="2:15" x14ac:dyDescent="0.35">
      <c r="B7" s="101" t="s">
        <v>153</v>
      </c>
      <c r="C7" s="102"/>
      <c r="D7" s="103"/>
      <c r="E7" s="102"/>
      <c r="J7" s="46">
        <v>288000</v>
      </c>
      <c r="K7" s="46">
        <v>264000</v>
      </c>
      <c r="L7" s="46">
        <v>336000</v>
      </c>
      <c r="M7" s="46">
        <v>456000</v>
      </c>
      <c r="N7" s="106"/>
    </row>
    <row r="8" spans="2:15" x14ac:dyDescent="0.35">
      <c r="B8" s="39" t="s">
        <v>53</v>
      </c>
      <c r="C8" s="93">
        <f>N9</f>
        <v>398400</v>
      </c>
      <c r="D8" s="93">
        <f>N14</f>
        <v>348000</v>
      </c>
      <c r="E8" s="93">
        <f>+C8+D8</f>
        <v>746400</v>
      </c>
      <c r="J8" s="41">
        <v>0.05</v>
      </c>
      <c r="K8" s="41">
        <v>0.1</v>
      </c>
      <c r="L8" s="41">
        <v>0.25</v>
      </c>
      <c r="M8" s="41">
        <v>0.6</v>
      </c>
      <c r="N8" s="106"/>
    </row>
    <row r="9" spans="2:15" ht="16" thickBot="1" x14ac:dyDescent="0.4">
      <c r="B9" s="39" t="s">
        <v>54</v>
      </c>
      <c r="C9" s="93">
        <v>-313200</v>
      </c>
      <c r="D9" s="93">
        <v>-286800</v>
      </c>
      <c r="E9" s="93">
        <f>+C9+D9</f>
        <v>-600000</v>
      </c>
      <c r="J9" s="47">
        <f t="shared" ref="J9:K9" si="0">J7*J8</f>
        <v>14400</v>
      </c>
      <c r="K9" s="47">
        <f t="shared" si="0"/>
        <v>26400</v>
      </c>
      <c r="L9" s="47">
        <f>L7*L8</f>
        <v>84000</v>
      </c>
      <c r="M9" s="47">
        <f>M7*M8</f>
        <v>273600</v>
      </c>
      <c r="N9" s="47">
        <f>SUM(J9:M9)</f>
        <v>398400</v>
      </c>
    </row>
    <row r="10" spans="2:15" ht="16" thickTop="1" x14ac:dyDescent="0.35">
      <c r="B10" s="39" t="s">
        <v>55</v>
      </c>
      <c r="C10" s="93"/>
      <c r="D10" s="93">
        <v>-8400</v>
      </c>
      <c r="E10" s="93">
        <f>+D10</f>
        <v>-8400</v>
      </c>
      <c r="J10" s="1"/>
      <c r="K10" s="1"/>
      <c r="L10" s="1"/>
      <c r="M10" s="1"/>
      <c r="N10" s="1"/>
    </row>
    <row r="11" spans="2:15" x14ac:dyDescent="0.35">
      <c r="B11" s="94" t="s">
        <v>56</v>
      </c>
      <c r="C11" s="95">
        <f>SUM(C8:C10)</f>
        <v>85200</v>
      </c>
      <c r="D11" s="95">
        <f>SUM(D8:D10)</f>
        <v>52800</v>
      </c>
      <c r="E11" s="95">
        <f>+C11+D11</f>
        <v>138000</v>
      </c>
      <c r="J11" s="105" t="s">
        <v>49</v>
      </c>
      <c r="K11" s="105" t="s">
        <v>50</v>
      </c>
      <c r="L11" s="105" t="s">
        <v>51</v>
      </c>
      <c r="M11" s="105" t="s">
        <v>57</v>
      </c>
      <c r="N11" s="105" t="s">
        <v>58</v>
      </c>
    </row>
    <row r="12" spans="2:15" x14ac:dyDescent="0.35">
      <c r="B12" s="101" t="s">
        <v>154</v>
      </c>
      <c r="C12" s="104"/>
      <c r="D12" s="104"/>
      <c r="E12" s="104"/>
      <c r="J12" s="46">
        <v>264000</v>
      </c>
      <c r="K12" s="46">
        <v>336000</v>
      </c>
      <c r="L12" s="46">
        <v>456000</v>
      </c>
      <c r="M12" s="46">
        <v>312000</v>
      </c>
      <c r="N12" s="107"/>
    </row>
    <row r="13" spans="2:15" x14ac:dyDescent="0.35">
      <c r="B13" s="39" t="s">
        <v>59</v>
      </c>
      <c r="C13" s="93">
        <v>-48000</v>
      </c>
      <c r="D13" s="93"/>
      <c r="E13" s="93">
        <f>+C13</f>
        <v>-48000</v>
      </c>
      <c r="J13" s="41">
        <v>0.05</v>
      </c>
      <c r="K13" s="41">
        <v>0.1</v>
      </c>
      <c r="L13" s="41">
        <v>0.25</v>
      </c>
      <c r="M13" s="41">
        <v>0.6</v>
      </c>
      <c r="N13" s="107"/>
    </row>
    <row r="14" spans="2:15" ht="16" thickBot="1" x14ac:dyDescent="0.4">
      <c r="B14" s="96" t="s">
        <v>60</v>
      </c>
      <c r="C14" s="95">
        <f>+C13</f>
        <v>-48000</v>
      </c>
      <c r="D14" s="95"/>
      <c r="E14" s="95">
        <f>+C14</f>
        <v>-48000</v>
      </c>
      <c r="J14" s="47">
        <f t="shared" ref="J14:L14" si="1">J13*J12</f>
        <v>13200</v>
      </c>
      <c r="K14" s="47">
        <f t="shared" si="1"/>
        <v>33600</v>
      </c>
      <c r="L14" s="47">
        <f t="shared" si="1"/>
        <v>114000</v>
      </c>
      <c r="M14" s="47">
        <f>M13*M12</f>
        <v>187200</v>
      </c>
      <c r="N14" s="47">
        <f>SUM(J14:M14)</f>
        <v>348000</v>
      </c>
    </row>
    <row r="15" spans="2:15" ht="16" thickTop="1" x14ac:dyDescent="0.35">
      <c r="B15" s="101" t="s">
        <v>155</v>
      </c>
      <c r="C15" s="104"/>
      <c r="D15" s="104"/>
      <c r="E15" s="104"/>
      <c r="J15" s="1"/>
      <c r="K15" s="1"/>
      <c r="L15" s="1"/>
      <c r="M15" s="1"/>
      <c r="N15" s="1"/>
    </row>
    <row r="16" spans="2:15" x14ac:dyDescent="0.35">
      <c r="B16" s="39" t="s">
        <v>61</v>
      </c>
      <c r="C16" s="93"/>
      <c r="D16" s="93">
        <v>-72000</v>
      </c>
      <c r="E16" s="93">
        <f>+D16</f>
        <v>-72000</v>
      </c>
      <c r="J16" s="2" t="s">
        <v>62</v>
      </c>
      <c r="M16" s="1"/>
      <c r="N16" s="1"/>
    </row>
    <row r="17" spans="2:12" x14ac:dyDescent="0.35">
      <c r="B17" s="96" t="s">
        <v>63</v>
      </c>
      <c r="C17" s="95"/>
      <c r="D17" s="95">
        <f>+D16</f>
        <v>-72000</v>
      </c>
      <c r="E17" s="95">
        <f>+D17</f>
        <v>-72000</v>
      </c>
      <c r="J17" s="105" t="s">
        <v>50</v>
      </c>
      <c r="K17" s="105" t="s">
        <v>51</v>
      </c>
      <c r="L17" s="105" t="s">
        <v>52</v>
      </c>
    </row>
    <row r="18" spans="2:12" x14ac:dyDescent="0.35">
      <c r="B18" s="97" t="s">
        <v>64</v>
      </c>
      <c r="C18" s="98">
        <f>C17+C14+C11</f>
        <v>37200</v>
      </c>
      <c r="D18" s="98">
        <f>D17+D11</f>
        <v>-19200</v>
      </c>
      <c r="E18" s="98">
        <f>C18+D18</f>
        <v>18000</v>
      </c>
      <c r="J18" s="46">
        <v>192000</v>
      </c>
      <c r="K18" s="46">
        <v>120000</v>
      </c>
      <c r="L18" s="106"/>
    </row>
    <row r="19" spans="2:12" x14ac:dyDescent="0.35">
      <c r="B19" s="97" t="s">
        <v>65</v>
      </c>
      <c r="C19" s="98">
        <v>36000</v>
      </c>
      <c r="D19" s="98">
        <f>C20</f>
        <v>73200</v>
      </c>
      <c r="E19" s="98">
        <f>C19</f>
        <v>36000</v>
      </c>
      <c r="J19" s="41">
        <v>0.3</v>
      </c>
      <c r="K19" s="41">
        <v>0.7</v>
      </c>
      <c r="L19" s="106"/>
    </row>
    <row r="20" spans="2:12" ht="16" thickBot="1" x14ac:dyDescent="0.4">
      <c r="B20" s="97" t="s">
        <v>66</v>
      </c>
      <c r="C20" s="98">
        <f>SUM(C18:C19)</f>
        <v>73200</v>
      </c>
      <c r="D20" s="98">
        <f>SUM(D18:D19)</f>
        <v>54000</v>
      </c>
      <c r="E20" s="98">
        <f>D20</f>
        <v>54000</v>
      </c>
      <c r="J20" s="47">
        <f>J18*J19</f>
        <v>57600</v>
      </c>
      <c r="K20" s="47">
        <f>K18*K19</f>
        <v>84000</v>
      </c>
      <c r="L20" s="47">
        <f>SUM(J20:K20)</f>
        <v>141600</v>
      </c>
    </row>
    <row r="21" spans="2:12" ht="16" thickTop="1" x14ac:dyDescent="0.35"/>
    <row r="22" spans="2:12" x14ac:dyDescent="0.35">
      <c r="J22" s="105" t="s">
        <v>51</v>
      </c>
      <c r="K22" s="105" t="s">
        <v>57</v>
      </c>
      <c r="L22" s="105" t="s">
        <v>58</v>
      </c>
    </row>
    <row r="23" spans="2:12" x14ac:dyDescent="0.35">
      <c r="J23" s="46">
        <v>120000</v>
      </c>
      <c r="K23" s="46">
        <v>144000</v>
      </c>
      <c r="L23" s="108"/>
    </row>
    <row r="24" spans="2:12" s="1" customFormat="1" x14ac:dyDescent="0.35">
      <c r="B24" s="2"/>
      <c r="J24" s="41">
        <v>0.3</v>
      </c>
      <c r="K24" s="41">
        <v>0.7</v>
      </c>
      <c r="L24" s="106"/>
    </row>
    <row r="25" spans="2:12" s="1" customFormat="1" ht="16" thickBot="1" x14ac:dyDescent="0.4">
      <c r="C25" s="43"/>
      <c r="D25" s="43"/>
      <c r="J25" s="47">
        <f>J23*J24</f>
        <v>36000</v>
      </c>
      <c r="K25" s="47">
        <f>K23*K24</f>
        <v>100800</v>
      </c>
      <c r="L25" s="47">
        <f>SUM(J25:K25)</f>
        <v>136800</v>
      </c>
    </row>
    <row r="26" spans="2:12" s="1" customFormat="1" ht="16" thickTop="1" x14ac:dyDescent="0.35">
      <c r="C26" s="44"/>
      <c r="D26" s="44"/>
    </row>
    <row r="27" spans="2:12" s="1" customFormat="1" x14ac:dyDescent="0.35">
      <c r="C27" s="44"/>
      <c r="D27" s="44"/>
      <c r="J27" s="2" t="s">
        <v>67</v>
      </c>
      <c r="K27" s="2"/>
      <c r="L27" s="2"/>
    </row>
    <row r="28" spans="2:12" s="1" customFormat="1" x14ac:dyDescent="0.35">
      <c r="C28" s="44"/>
      <c r="D28" s="44"/>
      <c r="K28" s="105" t="s">
        <v>51</v>
      </c>
      <c r="L28" s="105" t="s">
        <v>57</v>
      </c>
    </row>
    <row r="29" spans="2:12" s="1" customFormat="1" x14ac:dyDescent="0.35">
      <c r="C29" s="44"/>
      <c r="D29" s="45"/>
      <c r="J29" s="1" t="s">
        <v>68</v>
      </c>
      <c r="K29" s="46">
        <v>456000</v>
      </c>
      <c r="L29" s="46">
        <v>312000</v>
      </c>
    </row>
    <row r="30" spans="2:12" s="1" customFormat="1" ht="16" thickBot="1" x14ac:dyDescent="0.4">
      <c r="C30" s="44"/>
      <c r="D30" s="44"/>
      <c r="J30" s="1" t="s">
        <v>69</v>
      </c>
      <c r="K30" s="42">
        <v>0.15</v>
      </c>
      <c r="L30" s="42">
        <v>0.15</v>
      </c>
    </row>
    <row r="31" spans="2:12" s="1" customFormat="1" x14ac:dyDescent="0.35">
      <c r="C31" s="44"/>
      <c r="D31" s="45"/>
      <c r="J31" s="1" t="s">
        <v>70</v>
      </c>
      <c r="K31" s="48">
        <f>K29*K30</f>
        <v>68400</v>
      </c>
      <c r="L31" s="48">
        <f>L29*L30</f>
        <v>46800</v>
      </c>
    </row>
    <row r="32" spans="2:12" s="1" customFormat="1" ht="16" thickBot="1" x14ac:dyDescent="0.4">
      <c r="C32" s="45"/>
      <c r="D32" s="45"/>
      <c r="J32" s="1" t="s">
        <v>71</v>
      </c>
      <c r="K32" s="49">
        <v>36000</v>
      </c>
      <c r="L32" s="49">
        <v>36000</v>
      </c>
    </row>
    <row r="33" spans="3:12" s="1" customFormat="1" ht="16" thickBot="1" x14ac:dyDescent="0.4">
      <c r="J33" s="1" t="s">
        <v>9</v>
      </c>
      <c r="K33" s="50">
        <f>SUM(K31:K32)</f>
        <v>104400</v>
      </c>
      <c r="L33" s="50">
        <f>SUM(L31:L32)</f>
        <v>82800</v>
      </c>
    </row>
    <row r="34" spans="3:12" s="1" customFormat="1" ht="16" thickTop="1" x14ac:dyDescent="0.35"/>
    <row r="35" spans="3:12" s="1" customFormat="1" ht="15.75" customHeight="1" x14ac:dyDescent="0.35">
      <c r="C35" s="44"/>
      <c r="D35" s="44"/>
      <c r="J35" s="2" t="s">
        <v>151</v>
      </c>
      <c r="K35" s="2"/>
      <c r="L35" s="2"/>
    </row>
    <row r="36" spans="3:12" s="1" customFormat="1" x14ac:dyDescent="0.35">
      <c r="C36" s="44"/>
      <c r="D36" s="44"/>
      <c r="K36" s="105" t="s">
        <v>51</v>
      </c>
      <c r="L36" s="105" t="s">
        <v>57</v>
      </c>
    </row>
    <row r="37" spans="3:12" s="1" customFormat="1" x14ac:dyDescent="0.35">
      <c r="C37" s="44"/>
      <c r="D37" s="44"/>
      <c r="J37" s="1" t="s">
        <v>71</v>
      </c>
      <c r="K37" s="46">
        <v>96000</v>
      </c>
      <c r="L37" s="46">
        <v>96000</v>
      </c>
    </row>
    <row r="38" spans="3:12" s="1" customFormat="1" ht="16" thickBot="1" x14ac:dyDescent="0.4">
      <c r="C38" s="44"/>
      <c r="D38" s="45"/>
      <c r="J38" s="1" t="s">
        <v>72</v>
      </c>
      <c r="K38" s="49">
        <v>28800</v>
      </c>
      <c r="L38" s="49">
        <v>28800</v>
      </c>
    </row>
    <row r="39" spans="3:12" s="1" customFormat="1" ht="16" thickBot="1" x14ac:dyDescent="0.4">
      <c r="C39" s="44"/>
      <c r="D39" s="44"/>
      <c r="J39" s="1" t="s">
        <v>9</v>
      </c>
      <c r="K39" s="50">
        <f>K37-K38</f>
        <v>67200</v>
      </c>
      <c r="L39" s="50">
        <f>L37-L38</f>
        <v>67200</v>
      </c>
    </row>
    <row r="40" spans="3:12" s="1" customFormat="1" ht="16" thickTop="1" x14ac:dyDescent="0.35">
      <c r="C40" s="44"/>
      <c r="D40" s="45"/>
    </row>
    <row r="41" spans="3:12" s="1" customFormat="1" x14ac:dyDescent="0.35">
      <c r="C41" s="45"/>
      <c r="D41" s="45"/>
    </row>
  </sheetData>
  <mergeCells count="4">
    <mergeCell ref="B5:D5"/>
    <mergeCell ref="B2:E2"/>
    <mergeCell ref="B3:E3"/>
    <mergeCell ref="B4:E4"/>
  </mergeCells>
  <pageMargins left="0.7" right="0.7" top="0.75" bottom="0.75" header="0.3" footer="0.3"/>
  <pageSetup orientation="portrait" r:id="rId1"/>
  <ignoredErrors>
    <ignoredError sqref="E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778E-E6DE-4265-9429-5F59C31A1D7D}">
  <dimension ref="A1:E62"/>
  <sheetViews>
    <sheetView showGridLines="0" topLeftCell="A47" zoomScale="90" zoomScaleNormal="90" workbookViewId="0">
      <selection activeCell="D62" sqref="D62"/>
    </sheetView>
  </sheetViews>
  <sheetFormatPr defaultColWidth="9" defaultRowHeight="14.5" x14ac:dyDescent="0.35"/>
  <cols>
    <col min="1" max="1" width="9" style="20"/>
    <col min="2" max="2" width="61.25" style="20" customWidth="1"/>
    <col min="3" max="3" width="14.25" style="20" customWidth="1"/>
    <col min="4" max="4" width="13.58203125" style="73" customWidth="1"/>
    <col min="5" max="5" width="31.08203125" style="21" customWidth="1"/>
    <col min="6" max="16384" width="9" style="20"/>
  </cols>
  <sheetData>
    <row r="1" spans="2:5" x14ac:dyDescent="0.35">
      <c r="B1" s="19" t="s">
        <v>73</v>
      </c>
      <c r="E1" s="68" t="s">
        <v>142</v>
      </c>
    </row>
    <row r="2" spans="2:5" x14ac:dyDescent="0.35">
      <c r="E2" s="68" t="s">
        <v>143</v>
      </c>
    </row>
    <row r="3" spans="2:5" ht="15" thickBot="1" x14ac:dyDescent="0.4">
      <c r="B3" s="55" t="s">
        <v>74</v>
      </c>
      <c r="C3" s="51"/>
      <c r="D3" s="74"/>
      <c r="E3" s="52"/>
    </row>
    <row r="4" spans="2:5" ht="28" x14ac:dyDescent="0.35">
      <c r="B4" s="122" t="s">
        <v>75</v>
      </c>
      <c r="C4" s="123"/>
      <c r="D4" s="72" t="s">
        <v>149</v>
      </c>
      <c r="E4" s="53" t="s">
        <v>76</v>
      </c>
    </row>
    <row r="5" spans="2:5" x14ac:dyDescent="0.35">
      <c r="B5" s="62" t="s">
        <v>77</v>
      </c>
      <c r="C5" s="60">
        <f>(6.2-6)*8000</f>
        <v>1600.0000000000014</v>
      </c>
      <c r="D5" s="76" t="s">
        <v>78</v>
      </c>
      <c r="E5" s="52" t="s">
        <v>79</v>
      </c>
    </row>
    <row r="6" spans="2:5" x14ac:dyDescent="0.35">
      <c r="B6" s="62" t="s">
        <v>80</v>
      </c>
      <c r="C6" s="61">
        <f>(7.7-8)*33000</f>
        <v>-9899.9999999999945</v>
      </c>
      <c r="D6" s="113" t="s">
        <v>81</v>
      </c>
      <c r="E6" s="52" t="s">
        <v>82</v>
      </c>
    </row>
    <row r="7" spans="2:5" ht="15" thickBot="1" x14ac:dyDescent="0.4">
      <c r="B7" s="63" t="s">
        <v>83</v>
      </c>
      <c r="C7" s="61">
        <f>C5+C6</f>
        <v>-8299.9999999999927</v>
      </c>
      <c r="D7" s="113" t="s">
        <v>81</v>
      </c>
      <c r="E7" s="52"/>
    </row>
    <row r="8" spans="2:5" ht="28" x14ac:dyDescent="0.35">
      <c r="B8" s="124" t="s">
        <v>84</v>
      </c>
      <c r="C8" s="125"/>
      <c r="D8" s="72" t="s">
        <v>149</v>
      </c>
      <c r="E8" s="52"/>
    </row>
    <row r="9" spans="2:5" x14ac:dyDescent="0.35">
      <c r="B9" s="62" t="s">
        <v>77</v>
      </c>
      <c r="C9" s="61">
        <f>(8000-10000)*6</f>
        <v>-12000</v>
      </c>
      <c r="D9" s="113" t="s">
        <v>81</v>
      </c>
      <c r="E9" s="52" t="s">
        <v>85</v>
      </c>
    </row>
    <row r="10" spans="2:5" x14ac:dyDescent="0.35">
      <c r="B10" s="62" t="s">
        <v>80</v>
      </c>
      <c r="C10" s="61">
        <f>(33000-30000)*8</f>
        <v>24000</v>
      </c>
      <c r="D10" s="76" t="s">
        <v>78</v>
      </c>
      <c r="E10" s="52" t="s">
        <v>86</v>
      </c>
    </row>
    <row r="11" spans="2:5" x14ac:dyDescent="0.35">
      <c r="B11" s="63" t="s">
        <v>87</v>
      </c>
      <c r="C11" s="60">
        <f>C10+C9</f>
        <v>12000</v>
      </c>
      <c r="D11" s="76" t="s">
        <v>78</v>
      </c>
      <c r="E11" s="52"/>
    </row>
    <row r="12" spans="2:5" ht="15" thickBot="1" x14ac:dyDescent="0.4">
      <c r="B12" s="70" t="s">
        <v>134</v>
      </c>
      <c r="C12" s="71">
        <f>+C7+C11</f>
        <v>3700.0000000000073</v>
      </c>
      <c r="D12" s="77" t="s">
        <v>78</v>
      </c>
      <c r="E12" s="52"/>
    </row>
    <row r="13" spans="2:5" ht="26.25" customHeight="1" x14ac:dyDescent="0.35">
      <c r="B13" s="130"/>
      <c r="C13" s="130"/>
      <c r="D13" s="75"/>
      <c r="E13" s="54"/>
    </row>
    <row r="15" spans="2:5" ht="15" thickBot="1" x14ac:dyDescent="0.4">
      <c r="B15" s="55" t="s">
        <v>88</v>
      </c>
      <c r="C15" s="51"/>
      <c r="D15" s="74"/>
    </row>
    <row r="16" spans="2:5" ht="29.5" customHeight="1" x14ac:dyDescent="0.35">
      <c r="B16" s="126" t="s">
        <v>89</v>
      </c>
      <c r="C16" s="127"/>
      <c r="D16" s="72" t="s">
        <v>149</v>
      </c>
      <c r="E16" s="53" t="s">
        <v>76</v>
      </c>
    </row>
    <row r="17" spans="2:5" x14ac:dyDescent="0.35">
      <c r="B17" s="62" t="s">
        <v>90</v>
      </c>
      <c r="C17" s="64">
        <f>24000*5</f>
        <v>120000</v>
      </c>
      <c r="D17" s="78" t="s">
        <v>135</v>
      </c>
      <c r="E17" s="52" t="s">
        <v>91</v>
      </c>
    </row>
    <row r="18" spans="2:5" x14ac:dyDescent="0.35">
      <c r="B18" s="62" t="s">
        <v>92</v>
      </c>
      <c r="C18" s="64">
        <f>16000*7</f>
        <v>112000</v>
      </c>
      <c r="D18" s="78" t="s">
        <v>135</v>
      </c>
      <c r="E18" s="52" t="s">
        <v>93</v>
      </c>
    </row>
    <row r="19" spans="2:5" x14ac:dyDescent="0.35">
      <c r="B19" s="62" t="s">
        <v>136</v>
      </c>
      <c r="C19" s="64">
        <f>C17-C18</f>
        <v>8000</v>
      </c>
      <c r="D19" s="76" t="s">
        <v>78</v>
      </c>
      <c r="E19" s="52"/>
    </row>
    <row r="20" spans="2:5" ht="15" thickBot="1" x14ac:dyDescent="0.4">
      <c r="B20" s="56" t="s">
        <v>137</v>
      </c>
      <c r="C20" s="65">
        <v>2</v>
      </c>
      <c r="D20" s="79" t="s">
        <v>135</v>
      </c>
      <c r="E20" s="52" t="s">
        <v>95</v>
      </c>
    </row>
    <row r="21" spans="2:5" ht="28.15" customHeight="1" x14ac:dyDescent="0.35">
      <c r="B21" s="128" t="s">
        <v>94</v>
      </c>
      <c r="C21" s="129"/>
      <c r="D21" s="72" t="s">
        <v>149</v>
      </c>
      <c r="E21" s="52"/>
    </row>
    <row r="22" spans="2:5" ht="15" thickBot="1" x14ac:dyDescent="0.4">
      <c r="B22" s="62" t="s">
        <v>96</v>
      </c>
      <c r="C22" s="64">
        <f>(5-7)*16000</f>
        <v>-32000</v>
      </c>
      <c r="D22" s="113" t="s">
        <v>81</v>
      </c>
      <c r="E22" s="52" t="s">
        <v>97</v>
      </c>
    </row>
    <row r="23" spans="2:5" ht="28" x14ac:dyDescent="0.35">
      <c r="B23" s="128" t="s">
        <v>138</v>
      </c>
      <c r="C23" s="129"/>
      <c r="D23" s="72" t="s">
        <v>149</v>
      </c>
      <c r="E23" s="52"/>
    </row>
    <row r="24" spans="2:5" ht="15" thickBot="1" x14ac:dyDescent="0.4">
      <c r="B24" s="66" t="s">
        <v>98</v>
      </c>
      <c r="C24" s="67">
        <f>(24000-16000)*5</f>
        <v>40000</v>
      </c>
      <c r="D24" s="80" t="s">
        <v>78</v>
      </c>
      <c r="E24" s="52" t="s">
        <v>99</v>
      </c>
    </row>
    <row r="25" spans="2:5" x14ac:dyDescent="0.35">
      <c r="B25" s="51"/>
      <c r="C25" s="51"/>
      <c r="D25" s="74"/>
      <c r="E25" s="52"/>
    </row>
    <row r="27" spans="2:5" ht="15" thickBot="1" x14ac:dyDescent="0.4">
      <c r="B27" s="55" t="s">
        <v>100</v>
      </c>
    </row>
    <row r="28" spans="2:5" ht="28" x14ac:dyDescent="0.35">
      <c r="B28" s="126" t="s">
        <v>101</v>
      </c>
      <c r="C28" s="127"/>
      <c r="D28" s="72" t="s">
        <v>149</v>
      </c>
      <c r="E28" s="53" t="s">
        <v>76</v>
      </c>
    </row>
    <row r="29" spans="2:5" x14ac:dyDescent="0.35">
      <c r="B29" s="62" t="s">
        <v>102</v>
      </c>
      <c r="C29" s="64">
        <f>28000*9</f>
        <v>252000</v>
      </c>
      <c r="D29" s="78" t="s">
        <v>135</v>
      </c>
      <c r="E29" s="52" t="s">
        <v>103</v>
      </c>
    </row>
    <row r="30" spans="2:5" x14ac:dyDescent="0.35">
      <c r="B30" s="62" t="s">
        <v>92</v>
      </c>
      <c r="C30" s="64">
        <f>42000*8</f>
        <v>336000</v>
      </c>
      <c r="D30" s="78" t="s">
        <v>135</v>
      </c>
      <c r="E30" s="52" t="s">
        <v>104</v>
      </c>
    </row>
    <row r="31" spans="2:5" x14ac:dyDescent="0.35">
      <c r="B31" s="62" t="s">
        <v>101</v>
      </c>
      <c r="C31" s="64">
        <f>C29-C30</f>
        <v>-84000</v>
      </c>
      <c r="D31" s="114" t="s">
        <v>81</v>
      </c>
      <c r="E31" s="52"/>
    </row>
    <row r="32" spans="2:5" ht="15" thickBot="1" x14ac:dyDescent="0.4">
      <c r="B32" s="63" t="s">
        <v>139</v>
      </c>
      <c r="C32" s="64">
        <v>1</v>
      </c>
      <c r="D32" s="79" t="s">
        <v>135</v>
      </c>
      <c r="E32" s="52" t="s">
        <v>105</v>
      </c>
    </row>
    <row r="33" spans="2:5" ht="28" x14ac:dyDescent="0.35">
      <c r="B33" s="128" t="s">
        <v>140</v>
      </c>
      <c r="C33" s="129"/>
      <c r="D33" s="72" t="s">
        <v>149</v>
      </c>
      <c r="E33" s="52"/>
    </row>
    <row r="34" spans="2:5" ht="15" thickBot="1" x14ac:dyDescent="0.4">
      <c r="B34" s="62" t="s">
        <v>96</v>
      </c>
      <c r="C34" s="64">
        <f>(9-8)*42000</f>
        <v>42000</v>
      </c>
      <c r="D34" s="76" t="s">
        <v>78</v>
      </c>
      <c r="E34" s="52" t="s">
        <v>106</v>
      </c>
    </row>
    <row r="35" spans="2:5" ht="28" x14ac:dyDescent="0.35">
      <c r="B35" s="128" t="s">
        <v>141</v>
      </c>
      <c r="C35" s="129"/>
      <c r="D35" s="72" t="s">
        <v>149</v>
      </c>
      <c r="E35" s="52"/>
    </row>
    <row r="36" spans="2:5" ht="15" thickBot="1" x14ac:dyDescent="0.4">
      <c r="B36" s="66" t="s">
        <v>107</v>
      </c>
      <c r="C36" s="67">
        <f>(28000-42000)*9</f>
        <v>-126000</v>
      </c>
      <c r="D36" s="115" t="s">
        <v>81</v>
      </c>
      <c r="E36" s="52" t="s">
        <v>108</v>
      </c>
    </row>
    <row r="39" spans="2:5" ht="15" thickBot="1" x14ac:dyDescent="0.4">
      <c r="B39" s="55" t="s">
        <v>109</v>
      </c>
      <c r="C39" s="51"/>
      <c r="D39" s="74"/>
      <c r="E39" s="52"/>
    </row>
    <row r="40" spans="2:5" ht="28" x14ac:dyDescent="0.35">
      <c r="B40" s="126" t="s">
        <v>110</v>
      </c>
      <c r="C40" s="127"/>
      <c r="D40" s="72" t="s">
        <v>149</v>
      </c>
      <c r="E40" s="53" t="s">
        <v>76</v>
      </c>
    </row>
    <row r="41" spans="2:5" x14ac:dyDescent="0.35">
      <c r="B41" s="62" t="s">
        <v>111</v>
      </c>
      <c r="C41" s="64">
        <v>13000</v>
      </c>
      <c r="D41" s="78" t="s">
        <v>135</v>
      </c>
      <c r="E41" s="52"/>
    </row>
    <row r="42" spans="2:5" x14ac:dyDescent="0.35">
      <c r="B42" s="62" t="s">
        <v>112</v>
      </c>
      <c r="C42" s="64">
        <f>2500*4</f>
        <v>10000</v>
      </c>
      <c r="D42" s="78" t="s">
        <v>135</v>
      </c>
      <c r="E42" s="52" t="s">
        <v>113</v>
      </c>
    </row>
    <row r="43" spans="2:5" ht="15" thickBot="1" x14ac:dyDescent="0.4">
      <c r="B43" s="62" t="s">
        <v>114</v>
      </c>
      <c r="C43" s="64">
        <f>C42-C41</f>
        <v>-3000</v>
      </c>
      <c r="D43" s="113" t="s">
        <v>81</v>
      </c>
      <c r="E43" s="52"/>
    </row>
    <row r="44" spans="2:5" ht="28" x14ac:dyDescent="0.35">
      <c r="B44" s="128" t="s">
        <v>115</v>
      </c>
      <c r="C44" s="129"/>
      <c r="D44" s="72" t="s">
        <v>149</v>
      </c>
      <c r="E44" s="52"/>
    </row>
    <row r="45" spans="2:5" x14ac:dyDescent="0.35">
      <c r="B45" s="62" t="s">
        <v>116</v>
      </c>
      <c r="C45" s="64">
        <v>10000</v>
      </c>
      <c r="D45" s="78" t="s">
        <v>135</v>
      </c>
      <c r="E45" s="52"/>
    </row>
    <row r="46" spans="2:5" x14ac:dyDescent="0.35">
      <c r="B46" s="62" t="s">
        <v>117</v>
      </c>
      <c r="C46" s="64">
        <f>3000*4</f>
        <v>12000</v>
      </c>
      <c r="D46" s="78" t="s">
        <v>135</v>
      </c>
      <c r="E46" s="52" t="s">
        <v>118</v>
      </c>
    </row>
    <row r="47" spans="2:5" ht="15" thickBot="1" x14ac:dyDescent="0.4">
      <c r="B47" s="66" t="s">
        <v>119</v>
      </c>
      <c r="C47" s="67">
        <f>C46-C45</f>
        <v>2000</v>
      </c>
      <c r="D47" s="80" t="s">
        <v>78</v>
      </c>
      <c r="E47" s="52"/>
    </row>
    <row r="50" spans="1:5" ht="15" thickBot="1" x14ac:dyDescent="0.4">
      <c r="A50" s="51"/>
      <c r="B50" s="55" t="s">
        <v>120</v>
      </c>
      <c r="C50" s="51"/>
      <c r="D50" s="74"/>
      <c r="E50" s="52"/>
    </row>
    <row r="51" spans="1:5" ht="28" x14ac:dyDescent="0.35">
      <c r="A51" s="51"/>
      <c r="B51" s="126" t="s">
        <v>121</v>
      </c>
      <c r="C51" s="127"/>
      <c r="D51" s="72" t="s">
        <v>149</v>
      </c>
      <c r="E51" s="53" t="s">
        <v>76</v>
      </c>
    </row>
    <row r="52" spans="1:5" x14ac:dyDescent="0.35">
      <c r="A52" s="51"/>
      <c r="B52" s="62" t="s">
        <v>122</v>
      </c>
      <c r="C52" s="64">
        <v>420000</v>
      </c>
      <c r="D52" s="78" t="s">
        <v>135</v>
      </c>
      <c r="E52" s="52"/>
    </row>
    <row r="53" spans="1:5" x14ac:dyDescent="0.35">
      <c r="A53" s="51"/>
      <c r="B53" s="62" t="s">
        <v>123</v>
      </c>
      <c r="C53" s="64">
        <f>(10000*2)*20</f>
        <v>400000</v>
      </c>
      <c r="D53" s="78" t="s">
        <v>135</v>
      </c>
      <c r="E53" s="52" t="s">
        <v>124</v>
      </c>
    </row>
    <row r="54" spans="1:5" ht="15" thickBot="1" x14ac:dyDescent="0.4">
      <c r="A54" s="51"/>
      <c r="B54" s="62" t="s">
        <v>125</v>
      </c>
      <c r="C54" s="64">
        <f>C53-C52</f>
        <v>-20000</v>
      </c>
      <c r="D54" s="113" t="s">
        <v>81</v>
      </c>
      <c r="E54" s="52"/>
    </row>
    <row r="55" spans="1:5" ht="28" x14ac:dyDescent="0.35">
      <c r="A55" s="51"/>
      <c r="B55" s="128" t="s">
        <v>126</v>
      </c>
      <c r="C55" s="129"/>
      <c r="D55" s="72" t="s">
        <v>149</v>
      </c>
      <c r="E55" s="52"/>
    </row>
    <row r="56" spans="1:5" x14ac:dyDescent="0.35">
      <c r="A56" s="51"/>
      <c r="B56" s="62" t="s">
        <v>127</v>
      </c>
      <c r="C56" s="64">
        <v>400000</v>
      </c>
      <c r="D56" s="78" t="s">
        <v>135</v>
      </c>
      <c r="E56" s="52"/>
    </row>
    <row r="57" spans="1:5" x14ac:dyDescent="0.35">
      <c r="A57" s="51"/>
      <c r="B57" s="62" t="s">
        <v>128</v>
      </c>
      <c r="C57" s="64">
        <f>(9500*2)*20</f>
        <v>380000</v>
      </c>
      <c r="D57" s="78" t="s">
        <v>135</v>
      </c>
      <c r="E57" s="52" t="s">
        <v>129</v>
      </c>
    </row>
    <row r="58" spans="1:5" ht="15" thickBot="1" x14ac:dyDescent="0.4">
      <c r="A58" s="51"/>
      <c r="B58" s="62" t="s">
        <v>126</v>
      </c>
      <c r="C58" s="64">
        <f>C57-C56</f>
        <v>-20000</v>
      </c>
      <c r="D58" s="113" t="s">
        <v>81</v>
      </c>
      <c r="E58" s="52"/>
    </row>
    <row r="59" spans="1:5" ht="28" x14ac:dyDescent="0.35">
      <c r="A59" s="51"/>
      <c r="B59" s="128" t="s">
        <v>148</v>
      </c>
      <c r="C59" s="129"/>
      <c r="D59" s="72" t="s">
        <v>149</v>
      </c>
      <c r="E59" s="52"/>
    </row>
    <row r="60" spans="1:5" ht="15" thickBot="1" x14ac:dyDescent="0.4">
      <c r="A60" s="51"/>
      <c r="B60" s="62" t="s">
        <v>130</v>
      </c>
      <c r="C60" s="64">
        <f>(19000-20200)*20</f>
        <v>-24000</v>
      </c>
      <c r="D60" s="113" t="s">
        <v>81</v>
      </c>
      <c r="E60" s="52" t="s">
        <v>131</v>
      </c>
    </row>
    <row r="61" spans="1:5" ht="28" x14ac:dyDescent="0.35">
      <c r="A61" s="51"/>
      <c r="B61" s="128" t="s">
        <v>147</v>
      </c>
      <c r="C61" s="129"/>
      <c r="D61" s="72" t="s">
        <v>149</v>
      </c>
      <c r="E61" s="52"/>
    </row>
    <row r="62" spans="1:5" ht="15" thickBot="1" x14ac:dyDescent="0.4">
      <c r="A62" s="51"/>
      <c r="B62" s="66" t="s">
        <v>132</v>
      </c>
      <c r="C62" s="67">
        <f>(20200-20000)*20</f>
        <v>4000</v>
      </c>
      <c r="D62" s="116" t="s">
        <v>81</v>
      </c>
      <c r="E62" s="52" t="s">
        <v>133</v>
      </c>
    </row>
  </sheetData>
  <mergeCells count="15">
    <mergeCell ref="B35:C35"/>
    <mergeCell ref="B61:C61"/>
    <mergeCell ref="B33:C33"/>
    <mergeCell ref="B40:C40"/>
    <mergeCell ref="B44:C44"/>
    <mergeCell ref="B51:C51"/>
    <mergeCell ref="B59:C59"/>
    <mergeCell ref="B55:C55"/>
    <mergeCell ref="B4:C4"/>
    <mergeCell ref="B8:C8"/>
    <mergeCell ref="B16:C16"/>
    <mergeCell ref="B21:C21"/>
    <mergeCell ref="B28:C28"/>
    <mergeCell ref="B13:C13"/>
    <mergeCell ref="B23:C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9" ma:contentTypeDescription="Create a new document." ma:contentTypeScope="" ma:versionID="f4ad75466e70cb94ae4494938e10a35d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e604023a68da0c29b1ad1a39ba31ec56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12CE64EE-256C-4019-956D-06518B9DFB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CD5F69-D882-4D39-95CE-C4C0E8AF8D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11946D-62B6-46FB-80BA-34891149DD34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 1</vt:lpstr>
      <vt:lpstr>Tab 2</vt:lpstr>
      <vt:lpstr>Tab 3</vt:lpstr>
      <vt:lpstr>Tab 4</vt:lpstr>
      <vt:lpstr>'Tab 3'!OLE_LINK2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Ward</dc:creator>
  <cp:keywords/>
  <dc:description/>
  <cp:lastModifiedBy>Orshy Fekete</cp:lastModifiedBy>
  <cp:revision/>
  <dcterms:created xsi:type="dcterms:W3CDTF">2022-12-15T07:39:49Z</dcterms:created>
  <dcterms:modified xsi:type="dcterms:W3CDTF">2024-08-07T02:56:06Z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2022-12-15T16:22:10+11:00</dcterms:created>
  <dcterms:modified xsi:type="dcterms:W3CDTF">2022-12-15T16:22:10+11:00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2022-12-21T22:46:16Z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05973603-c6e5-44b1-8690-4726f8439b0a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